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285" activeTab="1"/>
  </bookViews>
  <sheets>
    <sheet name="Rev for St of Act" sheetId="1" r:id="rId1"/>
    <sheet name="Expenses" sheetId="4" r:id="rId2"/>
    <sheet name="Sheet1" sheetId="6" r:id="rId3"/>
  </sheets>
  <definedNames>
    <definedName name="_xlnm.Print_Area" localSheetId="0">'Rev for St of Act'!$A$1:$P$59</definedName>
  </definedNames>
  <calcPr calcId="145621"/>
</workbook>
</file>

<file path=xl/calcChain.xml><?xml version="1.0" encoding="utf-8"?>
<calcChain xmlns="http://schemas.openxmlformats.org/spreadsheetml/2006/main">
  <c r="U36" i="4" l="1"/>
  <c r="U9" i="4"/>
  <c r="E8" i="4"/>
  <c r="E9" i="4"/>
  <c r="E32" i="4"/>
  <c r="E33" i="4" s="1"/>
  <c r="E34" i="4" s="1"/>
  <c r="V30" i="4"/>
  <c r="V29" i="4" s="1"/>
  <c r="V3" i="4"/>
  <c r="O20" i="4"/>
  <c r="S20" i="4"/>
  <c r="O8" i="4"/>
  <c r="S8" i="4"/>
  <c r="O9" i="4"/>
  <c r="S9" i="4"/>
  <c r="G10" i="4"/>
  <c r="O10" i="4"/>
  <c r="S10" i="4" s="1"/>
  <c r="H11" i="4"/>
  <c r="O11" i="4" s="1"/>
  <c r="F12" i="4"/>
  <c r="O12" i="4"/>
  <c r="S12" i="4" s="1"/>
  <c r="W12" i="4" s="1"/>
  <c r="I13" i="4"/>
  <c r="J13" i="4"/>
  <c r="K13" i="4"/>
  <c r="L13" i="4"/>
  <c r="M13" i="4"/>
  <c r="N13" i="4"/>
  <c r="O13" i="4"/>
  <c r="S13" i="4" s="1"/>
  <c r="W13" i="4" s="1"/>
  <c r="O16" i="4"/>
  <c r="S16" i="4" s="1"/>
  <c r="O21" i="4"/>
  <c r="S21" i="4"/>
  <c r="O22" i="4"/>
  <c r="S22" i="4"/>
  <c r="O23" i="4"/>
  <c r="S23" i="4"/>
  <c r="W23" i="4" s="1"/>
  <c r="S31" i="4"/>
  <c r="E30" i="4"/>
  <c r="V17" i="4"/>
  <c r="V25" i="4"/>
  <c r="T17" i="4"/>
  <c r="T25" i="4"/>
  <c r="U17" i="4"/>
  <c r="U25" i="4"/>
  <c r="T3" i="4"/>
  <c r="W9" i="4"/>
  <c r="W8" i="4"/>
  <c r="W22" i="4"/>
  <c r="W21" i="4"/>
  <c r="W20" i="4"/>
  <c r="W24" i="4"/>
  <c r="Q17" i="4"/>
  <c r="Q25" i="4" s="1"/>
  <c r="R17" i="4"/>
  <c r="R25" i="4" s="1"/>
  <c r="P17" i="4"/>
  <c r="P25" i="4" s="1"/>
  <c r="M17" i="4"/>
  <c r="M25" i="4" s="1"/>
  <c r="A3" i="4"/>
  <c r="I17" i="4"/>
  <c r="I25" i="4"/>
  <c r="J17" i="4"/>
  <c r="J25" i="4"/>
  <c r="K17" i="4"/>
  <c r="K25" i="4"/>
  <c r="L17" i="4"/>
  <c r="L25" i="4"/>
  <c r="N17" i="4"/>
  <c r="N25" i="4"/>
  <c r="E17" i="4"/>
  <c r="E25" i="4"/>
  <c r="G17" i="4"/>
  <c r="G25" i="4"/>
  <c r="H17" i="4"/>
  <c r="H25" i="4"/>
  <c r="F17" i="4"/>
  <c r="F25" i="4"/>
  <c r="E31" i="1"/>
  <c r="D32" i="1"/>
  <c r="E28" i="1"/>
  <c r="D10" i="1"/>
  <c r="O10" i="1" s="1"/>
  <c r="H28" i="1"/>
  <c r="O9" i="1"/>
  <c r="O29" i="1" s="1"/>
  <c r="O28" i="1"/>
  <c r="O8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I35" i="1"/>
  <c r="O35" i="1" s="1"/>
  <c r="D33" i="1"/>
  <c r="E33" i="1"/>
  <c r="D34" i="1"/>
  <c r="E34" i="1"/>
  <c r="O34" i="1" s="1"/>
  <c r="O31" i="1"/>
  <c r="I57" i="1"/>
  <c r="O50" i="1"/>
  <c r="L41" i="1"/>
  <c r="L48" i="1"/>
  <c r="L51" i="1" s="1"/>
  <c r="O52" i="1"/>
  <c r="H29" i="1"/>
  <c r="H41" i="1" s="1"/>
  <c r="H48" i="1" s="1"/>
  <c r="O38" i="1"/>
  <c r="O32" i="1"/>
  <c r="O33" i="1"/>
  <c r="O36" i="1"/>
  <c r="O37" i="1"/>
  <c r="O39" i="1"/>
  <c r="O40" i="1"/>
  <c r="O45" i="1"/>
  <c r="O43" i="1"/>
  <c r="O44" i="1"/>
  <c r="O46" i="1"/>
  <c r="O54" i="1"/>
  <c r="M29" i="1"/>
  <c r="M41" i="1" s="1"/>
  <c r="M48" i="1" s="1"/>
  <c r="M55" i="1" s="1"/>
  <c r="F29" i="1"/>
  <c r="F41" i="1"/>
  <c r="F48" i="1" s="1"/>
  <c r="F55" i="1" s="1"/>
  <c r="N29" i="1"/>
  <c r="N41" i="1"/>
  <c r="N48" i="1" s="1"/>
  <c r="N55" i="1" s="1"/>
  <c r="I29" i="1"/>
  <c r="I41" i="1"/>
  <c r="I48" i="1" s="1"/>
  <c r="I55" i="1" s="1"/>
  <c r="J29" i="1"/>
  <c r="J41" i="1"/>
  <c r="J48" i="1" s="1"/>
  <c r="J55" i="1" s="1"/>
  <c r="E29" i="1"/>
  <c r="E41" i="1" s="1"/>
  <c r="E48" i="1" s="1"/>
  <c r="E55" i="1" s="1"/>
  <c r="K29" i="1"/>
  <c r="K41" i="1" s="1"/>
  <c r="K48" i="1" s="1"/>
  <c r="K55" i="1" s="1"/>
  <c r="G29" i="1"/>
  <c r="G41" i="1" s="1"/>
  <c r="G48" i="1" s="1"/>
  <c r="G55" i="1" s="1"/>
  <c r="H49" i="6"/>
  <c r="G49" i="6"/>
  <c r="H51" i="6"/>
  <c r="G39" i="6"/>
  <c r="G51" i="6" s="1"/>
  <c r="B21" i="6"/>
  <c r="C10" i="6"/>
  <c r="C11" i="6"/>
  <c r="C21" i="6" s="1"/>
  <c r="F21" i="6" s="1"/>
  <c r="I21" i="6" s="1"/>
  <c r="D10" i="6"/>
  <c r="D11" i="6"/>
  <c r="D21" i="6"/>
  <c r="E21" i="6"/>
  <c r="G18" i="6"/>
  <c r="G21" i="6"/>
  <c r="H21" i="6"/>
  <c r="B39" i="6"/>
  <c r="C39" i="6"/>
  <c r="D39" i="6"/>
  <c r="E39" i="6"/>
  <c r="I30" i="6"/>
  <c r="I18" i="6"/>
  <c r="F17" i="6"/>
  <c r="I17" i="6"/>
  <c r="I37" i="6"/>
  <c r="I36" i="6"/>
  <c r="I35" i="6"/>
  <c r="I34" i="6"/>
  <c r="I33" i="6"/>
  <c r="F32" i="6"/>
  <c r="I32" i="6" s="1"/>
  <c r="B49" i="6"/>
  <c r="B51" i="6" s="1"/>
  <c r="C45" i="6"/>
  <c r="D45" i="6"/>
  <c r="D49" i="6"/>
  <c r="D51" i="6" s="1"/>
  <c r="E49" i="6"/>
  <c r="I48" i="6"/>
  <c r="F31" i="6"/>
  <c r="I31" i="6" s="1"/>
  <c r="F29" i="6"/>
  <c r="I29" i="6" s="1"/>
  <c r="F28" i="6"/>
  <c r="I28" i="6" s="1"/>
  <c r="F27" i="6"/>
  <c r="I27" i="6" s="1"/>
  <c r="F19" i="6"/>
  <c r="I19" i="6" s="1"/>
  <c r="F16" i="6"/>
  <c r="I16" i="6" s="1"/>
  <c r="F15" i="6"/>
  <c r="I15" i="6" s="1"/>
  <c r="F14" i="6"/>
  <c r="I14" i="6" s="1"/>
  <c r="F13" i="6"/>
  <c r="I13" i="6" s="1"/>
  <c r="F12" i="6"/>
  <c r="I12" i="6" s="1"/>
  <c r="F11" i="6"/>
  <c r="I11" i="6" s="1"/>
  <c r="F10" i="6"/>
  <c r="I10" i="6" s="1"/>
  <c r="F47" i="6"/>
  <c r="F46" i="6"/>
  <c r="F44" i="6"/>
  <c r="F43" i="6"/>
  <c r="P31" i="1" l="1"/>
  <c r="O41" i="1"/>
  <c r="O48" i="1" s="1"/>
  <c r="R26" i="4"/>
  <c r="S11" i="4"/>
  <c r="W11" i="4" s="1"/>
  <c r="O17" i="4"/>
  <c r="O25" i="4" s="1"/>
  <c r="S26" i="4" s="1"/>
  <c r="C49" i="6"/>
  <c r="F45" i="6"/>
  <c r="E51" i="6"/>
  <c r="F39" i="6"/>
  <c r="I39" i="6" s="1"/>
  <c r="H53" i="1"/>
  <c r="O53" i="1" s="1"/>
  <c r="O51" i="1"/>
  <c r="L55" i="1"/>
  <c r="W10" i="4"/>
  <c r="W18" i="4" s="1"/>
  <c r="D29" i="1"/>
  <c r="D41" i="1" s="1"/>
  <c r="D48" i="1" s="1"/>
  <c r="D55" i="1" s="1"/>
  <c r="S17" i="4" l="1"/>
  <c r="H55" i="1"/>
  <c r="O55" i="1" s="1"/>
  <c r="C51" i="6"/>
  <c r="F51" i="6" s="1"/>
  <c r="F49" i="6"/>
  <c r="O56" i="1"/>
  <c r="I49" i="6"/>
  <c r="I51" i="6" s="1"/>
  <c r="S25" i="4" l="1"/>
  <c r="W17" i="4"/>
  <c r="S33" i="4" l="1"/>
  <c r="W25" i="4"/>
</calcChain>
</file>

<file path=xl/sharedStrings.xml><?xml version="1.0" encoding="utf-8"?>
<sst xmlns="http://schemas.openxmlformats.org/spreadsheetml/2006/main" count="186" uniqueCount="143">
  <si>
    <t>Grand Haven Area Public Schools</t>
  </si>
  <si>
    <t>Instruction</t>
  </si>
  <si>
    <t>Food service</t>
  </si>
  <si>
    <t>Athletics</t>
  </si>
  <si>
    <t>Support services</t>
  </si>
  <si>
    <t>Community services</t>
  </si>
  <si>
    <t>Grants</t>
  </si>
  <si>
    <t>Special Ed</t>
  </si>
  <si>
    <t>AQU</t>
  </si>
  <si>
    <t>ODP</t>
  </si>
  <si>
    <t>PKG</t>
  </si>
  <si>
    <t>SMP</t>
  </si>
  <si>
    <t>Service</t>
  </si>
  <si>
    <t>Rec</t>
  </si>
  <si>
    <t>PAC</t>
  </si>
  <si>
    <t>VOC</t>
  </si>
  <si>
    <t>Misc</t>
  </si>
  <si>
    <t>Expenses</t>
  </si>
  <si>
    <t>Expenses for Statement of Activities</t>
  </si>
  <si>
    <t>Interest on long-term debt</t>
  </si>
  <si>
    <t>General</t>
  </si>
  <si>
    <t>Debt</t>
  </si>
  <si>
    <t>Total</t>
  </si>
  <si>
    <t>Payments on loans</t>
  </si>
  <si>
    <t>Grand</t>
  </si>
  <si>
    <t>DAR</t>
  </si>
  <si>
    <t>DEP</t>
  </si>
  <si>
    <t>Fee for</t>
  </si>
  <si>
    <t>Other</t>
  </si>
  <si>
    <t>Sale of</t>
  </si>
  <si>
    <t>Property</t>
  </si>
  <si>
    <t>Transfers</t>
  </si>
  <si>
    <t>Taxes</t>
  </si>
  <si>
    <t>Interest</t>
  </si>
  <si>
    <t>Income</t>
  </si>
  <si>
    <t>CS</t>
  </si>
  <si>
    <t>Foods Service</t>
  </si>
  <si>
    <t>Unrestricted</t>
  </si>
  <si>
    <t>State Aid</t>
  </si>
  <si>
    <t>COM</t>
  </si>
  <si>
    <t>other</t>
  </si>
  <si>
    <t>Revenues for Statement of Activities</t>
  </si>
  <si>
    <t>31 debt</t>
  </si>
  <si>
    <t>32  debt</t>
  </si>
  <si>
    <t>33  debt</t>
  </si>
  <si>
    <t>34  debt</t>
  </si>
  <si>
    <t>42 technology</t>
  </si>
  <si>
    <t>Food Serv</t>
  </si>
  <si>
    <t>EDP</t>
  </si>
  <si>
    <t>MED</t>
  </si>
  <si>
    <t>MAO</t>
  </si>
  <si>
    <t>11 + 16</t>
  </si>
  <si>
    <t>Grant/</t>
  </si>
  <si>
    <t>Contribution</t>
  </si>
  <si>
    <t>ss</t>
  </si>
  <si>
    <t xml:space="preserve">Debt </t>
  </si>
  <si>
    <t>Proceeds</t>
  </si>
  <si>
    <t>x</t>
  </si>
  <si>
    <t>Bond</t>
  </si>
  <si>
    <t>Safety &amp; Site</t>
  </si>
  <si>
    <t>41 cap projects fund</t>
  </si>
  <si>
    <t>43 athletics</t>
  </si>
  <si>
    <t>44 safety</t>
  </si>
  <si>
    <t>35 debt</t>
  </si>
  <si>
    <t>36 debt</t>
  </si>
  <si>
    <t>Cap Proj</t>
  </si>
  <si>
    <t>SXI tuitions</t>
  </si>
  <si>
    <t>Impact Aid</t>
  </si>
  <si>
    <t>Transfers to other funds</t>
  </si>
  <si>
    <t>Transfers to other districts</t>
  </si>
  <si>
    <t>Capital outlay</t>
  </si>
  <si>
    <t>Cap Outlay</t>
  </si>
  <si>
    <t>Depr</t>
  </si>
  <si>
    <t>Gov'tal</t>
  </si>
  <si>
    <t>GASB</t>
  </si>
  <si>
    <t>Insurance</t>
  </si>
  <si>
    <t>Reimb</t>
  </si>
  <si>
    <t>Statement of activities</t>
  </si>
  <si>
    <t>Governmental revenues</t>
  </si>
  <si>
    <t>Adjustments</t>
  </si>
  <si>
    <t>June 30, 2007</t>
  </si>
  <si>
    <t>Tuitions</t>
  </si>
  <si>
    <t>PAL &amp; PAW</t>
  </si>
  <si>
    <t>Gain/(Loss)</t>
  </si>
  <si>
    <t>Sales Price</t>
  </si>
  <si>
    <t>eliminate deferred revenue</t>
  </si>
  <si>
    <t>From Financial Statement</t>
  </si>
  <si>
    <t>Unpaid vac &amp; sick</t>
  </si>
  <si>
    <t>Split 70</t>
  </si>
  <si>
    <t>Depreciation</t>
  </si>
  <si>
    <t>Unpaid Vac &amp; Sick</t>
  </si>
  <si>
    <t>Accrued int exp</t>
  </si>
  <si>
    <t>Issuance Premium amort</t>
  </si>
  <si>
    <t>Issuance Discount amort</t>
  </si>
  <si>
    <t>Net amort</t>
  </si>
  <si>
    <t xml:space="preserve">Athletic </t>
  </si>
  <si>
    <t xml:space="preserve">Safety </t>
  </si>
  <si>
    <t xml:space="preserve">Other Non-major </t>
  </si>
  <si>
    <t xml:space="preserve"> and Site </t>
  </si>
  <si>
    <t xml:space="preserve">and </t>
  </si>
  <si>
    <t xml:space="preserve">Governmental </t>
  </si>
  <si>
    <t xml:space="preserve">General  </t>
  </si>
  <si>
    <t xml:space="preserve">Improvement </t>
  </si>
  <si>
    <t xml:space="preserve">Security </t>
  </si>
  <si>
    <t xml:space="preserve">Funds </t>
  </si>
  <si>
    <t xml:space="preserve">Total </t>
  </si>
  <si>
    <t>Assets</t>
  </si>
  <si>
    <t>Cash and cash equivalents</t>
  </si>
  <si>
    <t>Investments</t>
  </si>
  <si>
    <t>Accounts receivable</t>
  </si>
  <si>
    <t>Interest receivable</t>
  </si>
  <si>
    <t>Due from other funds</t>
  </si>
  <si>
    <t>Due from other governmental units</t>
  </si>
  <si>
    <t>Inventories</t>
  </si>
  <si>
    <t>Prepaid expenditures and deposits</t>
  </si>
  <si>
    <t>Total Assets</t>
  </si>
  <si>
    <t>Liabilities and Fund Balances</t>
  </si>
  <si>
    <t>Liabilities</t>
  </si>
  <si>
    <t>Checks issued on future deposits</t>
  </si>
  <si>
    <t>Accounts payable</t>
  </si>
  <si>
    <t>Accrued payroll</t>
  </si>
  <si>
    <t>Due to other funds</t>
  </si>
  <si>
    <t>Deferred revenue</t>
  </si>
  <si>
    <t>Total Liabilities</t>
  </si>
  <si>
    <t>Fund Balances</t>
  </si>
  <si>
    <t>Reserved for subsequent year expeditures</t>
  </si>
  <si>
    <t>Reserved for debt service</t>
  </si>
  <si>
    <t>Reserved for capital projects</t>
  </si>
  <si>
    <t>Designated for uniforms</t>
  </si>
  <si>
    <t>Unreserved – undesignated</t>
  </si>
  <si>
    <t>Total Fund Balances</t>
  </si>
  <si>
    <t>Total Liabilities and Fund Balances</t>
  </si>
  <si>
    <t>Interest payable</t>
  </si>
  <si>
    <t>Bonds payable due within one year</t>
  </si>
  <si>
    <t>Bonds payable, due in more than one year</t>
  </si>
  <si>
    <t>Other obligations, due in more than one year</t>
  </si>
  <si>
    <t>Other obligations, due within one year</t>
  </si>
  <si>
    <t xml:space="preserve">Deferred charges, net </t>
  </si>
  <si>
    <t>Capital assets, net</t>
  </si>
  <si>
    <t>Total GASB</t>
  </si>
  <si>
    <t>Support Services</t>
  </si>
  <si>
    <t>Prior year fixed CIP add</t>
  </si>
  <si>
    <t>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</si>
</sst>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53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15" fontId="0" fillId="0" borderId="0" xfId="0" quotePrefix="1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/>
    <xf numFmtId="165" fontId="0" fillId="0" borderId="0" xfId="1" applyNumberFormat="1" applyFont="1" applyBorder="1"/>
    <xf numFmtId="0" fontId="0" fillId="0" borderId="1" xfId="0" applyFill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>
      <alignment horizontal="center"/>
    </xf>
    <xf numFmtId="165" fontId="0" fillId="0" borderId="1" xfId="1" applyNumberFormat="1" applyFont="1" applyFill="1" applyBorder="1"/>
    <xf numFmtId="0" fontId="0" fillId="0" borderId="0" xfId="0" applyBorder="1"/>
    <xf numFmtId="165" fontId="0" fillId="0" borderId="2" xfId="0" applyNumberFormat="1" applyBorder="1"/>
    <xf numFmtId="165" fontId="3" fillId="0" borderId="0" xfId="1" applyNumberFormat="1" applyFont="1" applyBorder="1"/>
    <xf numFmtId="165" fontId="0" fillId="0" borderId="0" xfId="1" applyNumberFormat="1" applyFont="1" applyFill="1" applyBorder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2" xfId="0" applyFont="1" applyBorder="1"/>
    <xf numFmtId="165" fontId="4" fillId="0" borderId="0" xfId="1" applyNumberFormat="1" applyFont="1"/>
    <xf numFmtId="165" fontId="5" fillId="0" borderId="0" xfId="1" applyNumberFormat="1" applyFont="1"/>
    <xf numFmtId="165" fontId="5" fillId="0" borderId="1" xfId="1" applyNumberFormat="1" applyFont="1" applyBorder="1"/>
    <xf numFmtId="165" fontId="5" fillId="0" borderId="0" xfId="0" applyNumberFormat="1" applyFont="1"/>
    <xf numFmtId="165" fontId="6" fillId="0" borderId="0" xfId="1" applyNumberFormat="1" applyFont="1"/>
    <xf numFmtId="165" fontId="7" fillId="0" borderId="0" xfId="1" applyNumberFormat="1" applyFont="1"/>
    <xf numFmtId="0" fontId="0" fillId="2" borderId="0" xfId="0" applyFill="1"/>
    <xf numFmtId="0" fontId="6" fillId="2" borderId="0" xfId="0" applyFont="1" applyFill="1"/>
    <xf numFmtId="165" fontId="6" fillId="2" borderId="0" xfId="1" applyNumberFormat="1" applyFont="1" applyFill="1"/>
    <xf numFmtId="165" fontId="6" fillId="2" borderId="0" xfId="1" applyNumberFormat="1" applyFont="1" applyFill="1" applyBorder="1"/>
    <xf numFmtId="165" fontId="6" fillId="0" borderId="1" xfId="1" applyNumberFormat="1" applyFont="1" applyBorder="1"/>
    <xf numFmtId="0" fontId="4" fillId="2" borderId="0" xfId="0" applyFont="1" applyFill="1"/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0" fillId="2" borderId="1" xfId="1" applyNumberFormat="1" applyFont="1" applyFill="1" applyBorder="1"/>
    <xf numFmtId="0" fontId="3" fillId="2" borderId="0" xfId="0" applyFont="1" applyFill="1"/>
    <xf numFmtId="165" fontId="3" fillId="2" borderId="0" xfId="1" applyNumberFormat="1" applyFont="1" applyFill="1" applyBorder="1"/>
    <xf numFmtId="165" fontId="8" fillId="0" borderId="0" xfId="1" applyNumberFormat="1" applyFont="1"/>
    <xf numFmtId="165" fontId="4" fillId="0" borderId="1" xfId="1" applyNumberFormat="1" applyFont="1" applyBorder="1"/>
    <xf numFmtId="165" fontId="8" fillId="0" borderId="3" xfId="1" applyNumberFormat="1" applyFont="1" applyBorder="1"/>
    <xf numFmtId="0" fontId="4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65" fontId="9" fillId="0" borderId="0" xfId="1" applyNumberFormat="1" applyFont="1"/>
    <xf numFmtId="0" fontId="9" fillId="0" borderId="3" xfId="0" applyFont="1" applyBorder="1" applyAlignment="1">
      <alignment horizontal="right"/>
    </xf>
    <xf numFmtId="165" fontId="9" fillId="0" borderId="3" xfId="1" applyNumberFormat="1" applyFont="1" applyBorder="1"/>
    <xf numFmtId="165" fontId="10" fillId="0" borderId="0" xfId="1" applyNumberFormat="1" applyFont="1"/>
    <xf numFmtId="0" fontId="10" fillId="0" borderId="0" xfId="0" applyFont="1" applyAlignment="1">
      <alignment horizontal="right"/>
    </xf>
    <xf numFmtId="165" fontId="8" fillId="0" borderId="1" xfId="1" applyNumberFormat="1" applyFont="1" applyBorder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165" fontId="8" fillId="0" borderId="0" xfId="1" applyNumberFormat="1" applyFont="1" applyAlignment="1">
      <alignment horizontal="center"/>
    </xf>
    <xf numFmtId="0" fontId="0" fillId="3" borderId="0" xfId="0" applyFill="1"/>
    <xf numFmtId="49" fontId="0" fillId="0" borderId="0" xfId="0" applyNumberFormat="1" applyAlignment="1">
      <alignment horizontal="right"/>
    </xf>
    <xf numFmtId="49" fontId="11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righ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41" fontId="0" fillId="0" borderId="0" xfId="0" applyNumberFormat="1"/>
    <xf numFmtId="0" fontId="14" fillId="0" borderId="0" xfId="0" applyFont="1" applyAlignment="1">
      <alignment wrapText="1"/>
    </xf>
    <xf numFmtId="42" fontId="0" fillId="0" borderId="0" xfId="0" applyNumberFormat="1"/>
    <xf numFmtId="0" fontId="14" fillId="0" borderId="1" xfId="0" applyFont="1" applyBorder="1" applyAlignment="1">
      <alignment wrapText="1"/>
    </xf>
    <xf numFmtId="41" fontId="0" fillId="0" borderId="1" xfId="0" applyNumberFormat="1" applyBorder="1"/>
    <xf numFmtId="0" fontId="12" fillId="0" borderId="4" xfId="0" applyFont="1" applyBorder="1" applyAlignment="1">
      <alignment wrapText="1"/>
    </xf>
    <xf numFmtId="42" fontId="0" fillId="0" borderId="4" xfId="0" applyNumberFormat="1" applyBorder="1"/>
    <xf numFmtId="0" fontId="13" fillId="0" borderId="0" xfId="0" applyFon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165" fontId="0" fillId="0" borderId="2" xfId="1" applyNumberFormat="1" applyFont="1" applyBorder="1"/>
    <xf numFmtId="0" fontId="14" fillId="0" borderId="0" xfId="0" applyFont="1" applyBorder="1" applyAlignment="1">
      <alignment wrapText="1"/>
    </xf>
    <xf numFmtId="41" fontId="0" fillId="0" borderId="0" xfId="0" applyNumberFormat="1" applyBorder="1"/>
    <xf numFmtId="49" fontId="0" fillId="0" borderId="1" xfId="0" applyNumberFormat="1" applyFill="1" applyBorder="1" applyAlignment="1">
      <alignment horizontal="right"/>
    </xf>
    <xf numFmtId="165" fontId="6" fillId="0" borderId="0" xfId="1" applyNumberFormat="1" applyFont="1" applyAlignment="1">
      <alignment horizontal="right"/>
    </xf>
    <xf numFmtId="165" fontId="7" fillId="0" borderId="1" xfId="1" applyNumberFormat="1" applyFont="1" applyBorder="1"/>
    <xf numFmtId="43" fontId="7" fillId="0" borderId="0" xfId="1" applyFont="1"/>
    <xf numFmtId="0" fontId="11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5"/>
  <sheetViews>
    <sheetView topLeftCell="A6" workbookViewId="0">
      <pane xSplit="3" ySplit="2" topLeftCell="D8" activePane="bottomRight" state="frozen"/>
      <selection activeCell="A6" sqref="A6"/>
      <selection pane="topRight" activeCell="D6" sqref="D6"/>
      <selection pane="bottomLeft" activeCell="A8" sqref="A8"/>
      <selection pane="bottomRight" activeCell="D8" sqref="D8"/>
    </sheetView>
  </sheetViews>
  <sheetFormatPr defaultRowHeight="12.75" x14ac:dyDescent="0.2"/>
  <cols>
    <col min="1" max="1" width="16.85546875" customWidth="1"/>
    <col min="2" max="2" width="4.85546875" customWidth="1"/>
    <col min="3" max="3" width="4.7109375" customWidth="1"/>
    <col min="4" max="4" width="12.85546875" bestFit="1" customWidth="1"/>
    <col min="5" max="11" width="11.7109375" customWidth="1"/>
    <col min="12" max="12" width="12.7109375" customWidth="1"/>
    <col min="13" max="14" width="11.7109375" customWidth="1"/>
    <col min="15" max="15" width="12.28515625" customWidth="1"/>
    <col min="16" max="26" width="11.7109375" customWidth="1"/>
    <col min="27" max="27" width="9.28515625" bestFit="1" customWidth="1"/>
    <col min="28" max="28" width="12.42578125" customWidth="1"/>
  </cols>
  <sheetData>
    <row r="1" spans="1:28" x14ac:dyDescent="0.2">
      <c r="A1" t="s">
        <v>0</v>
      </c>
    </row>
    <row r="2" spans="1:28" x14ac:dyDescent="0.2">
      <c r="A2" t="s">
        <v>41</v>
      </c>
    </row>
    <row r="3" spans="1:28" x14ac:dyDescent="0.2">
      <c r="A3" s="1" t="s">
        <v>80</v>
      </c>
    </row>
    <row r="5" spans="1:28" x14ac:dyDescent="0.2">
      <c r="AB5" s="8"/>
    </row>
    <row r="6" spans="1:28" x14ac:dyDescent="0.2">
      <c r="D6" s="7" t="s">
        <v>27</v>
      </c>
      <c r="E6" s="7" t="s">
        <v>52</v>
      </c>
      <c r="F6" s="7" t="s">
        <v>29</v>
      </c>
      <c r="G6" s="2" t="s">
        <v>55</v>
      </c>
      <c r="I6" s="12" t="s">
        <v>30</v>
      </c>
      <c r="J6" s="12" t="s">
        <v>33</v>
      </c>
      <c r="K6" s="12" t="s">
        <v>37</v>
      </c>
      <c r="L6" s="12" t="s">
        <v>58</v>
      </c>
      <c r="M6" s="12" t="s">
        <v>75</v>
      </c>
    </row>
    <row r="7" spans="1:28" x14ac:dyDescent="0.2">
      <c r="D7" s="3" t="s">
        <v>12</v>
      </c>
      <c r="E7" s="3" t="s">
        <v>53</v>
      </c>
      <c r="F7" s="3" t="s">
        <v>30</v>
      </c>
      <c r="G7" s="10" t="s">
        <v>56</v>
      </c>
      <c r="H7" s="10" t="s">
        <v>31</v>
      </c>
      <c r="I7" s="10" t="s">
        <v>32</v>
      </c>
      <c r="J7" s="10" t="s">
        <v>34</v>
      </c>
      <c r="K7" s="10" t="s">
        <v>38</v>
      </c>
      <c r="L7" s="10" t="s">
        <v>56</v>
      </c>
      <c r="M7" s="10" t="s">
        <v>76</v>
      </c>
      <c r="N7" s="10" t="s">
        <v>28</v>
      </c>
      <c r="O7" s="10" t="s">
        <v>22</v>
      </c>
    </row>
    <row r="8" spans="1:28" x14ac:dyDescent="0.2">
      <c r="N8" s="4"/>
      <c r="O8" s="4">
        <f>SUM(D8:N8)</f>
        <v>0</v>
      </c>
    </row>
    <row r="9" spans="1:28" x14ac:dyDescent="0.2">
      <c r="A9" t="s">
        <v>16</v>
      </c>
      <c r="C9">
        <v>0.5</v>
      </c>
      <c r="D9" s="4"/>
      <c r="E9" s="4">
        <v>0</v>
      </c>
      <c r="F9" s="4"/>
      <c r="G9" s="4"/>
      <c r="H9" s="4"/>
      <c r="I9" s="4"/>
      <c r="J9" s="4"/>
      <c r="K9" s="4"/>
      <c r="L9" s="4"/>
      <c r="M9" s="4"/>
      <c r="N9" s="4"/>
      <c r="O9" s="4">
        <f t="shared" ref="O9:O28" si="0">SUM(D9:N9)</f>
        <v>0</v>
      </c>
    </row>
    <row r="10" spans="1:28" x14ac:dyDescent="0.2">
      <c r="A10" t="s">
        <v>81</v>
      </c>
      <c r="C10">
        <v>1</v>
      </c>
      <c r="D10" s="4">
        <f>8059+3038+3064+1502+32418+4840</f>
        <v>52921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9">
        <f t="shared" si="0"/>
        <v>52921</v>
      </c>
    </row>
    <row r="11" spans="1:28" x14ac:dyDescent="0.2">
      <c r="A11" t="s">
        <v>66</v>
      </c>
      <c r="C11">
        <v>1.5</v>
      </c>
      <c r="D11" s="4"/>
      <c r="E11" s="4">
        <v>286465</v>
      </c>
      <c r="F11" s="4"/>
      <c r="G11" s="4"/>
      <c r="H11" s="4"/>
      <c r="I11" s="4"/>
      <c r="J11" s="4"/>
      <c r="K11" s="4"/>
      <c r="L11" s="4"/>
      <c r="M11" s="4"/>
      <c r="N11" s="4"/>
      <c r="O11" s="9">
        <f t="shared" si="0"/>
        <v>286465</v>
      </c>
    </row>
    <row r="12" spans="1:28" x14ac:dyDescent="0.2">
      <c r="A12" t="s">
        <v>7</v>
      </c>
      <c r="C12">
        <v>2</v>
      </c>
      <c r="D12" s="4"/>
      <c r="E12" s="4">
        <v>2019242</v>
      </c>
      <c r="F12" s="4"/>
      <c r="G12" s="4"/>
      <c r="H12" s="4"/>
      <c r="I12" s="4"/>
      <c r="J12" s="4"/>
      <c r="K12" s="4"/>
      <c r="L12" s="4"/>
      <c r="M12" s="4"/>
      <c r="N12" s="4"/>
      <c r="O12" s="9">
        <f t="shared" si="0"/>
        <v>2019242</v>
      </c>
    </row>
    <row r="13" spans="1:28" x14ac:dyDescent="0.2">
      <c r="A13" s="32"/>
      <c r="B13" s="32" t="s">
        <v>35</v>
      </c>
      <c r="C13" s="32">
        <v>3</v>
      </c>
      <c r="D13" s="33">
        <v>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>
        <f t="shared" si="0"/>
        <v>0</v>
      </c>
    </row>
    <row r="14" spans="1:28" x14ac:dyDescent="0.2">
      <c r="A14" s="32" t="s">
        <v>8</v>
      </c>
      <c r="B14" s="32" t="s">
        <v>35</v>
      </c>
      <c r="C14" s="32">
        <v>4</v>
      </c>
      <c r="D14" s="33">
        <v>96076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>
        <f t="shared" si="0"/>
        <v>96076</v>
      </c>
    </row>
    <row r="15" spans="1:28" s="36" customFormat="1" x14ac:dyDescent="0.2">
      <c r="A15" s="36" t="s">
        <v>39</v>
      </c>
      <c r="B15" s="36" t="s">
        <v>54</v>
      </c>
      <c r="C15" s="36">
        <v>5</v>
      </c>
      <c r="D15" s="37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>
        <f t="shared" si="0"/>
        <v>0</v>
      </c>
    </row>
    <row r="16" spans="1:28" x14ac:dyDescent="0.2">
      <c r="A16" t="s">
        <v>25</v>
      </c>
      <c r="C16">
        <v>6</v>
      </c>
      <c r="D16" s="4"/>
      <c r="E16" s="4">
        <v>0</v>
      </c>
      <c r="F16" s="4"/>
      <c r="G16" s="4"/>
      <c r="H16" s="4"/>
      <c r="I16" s="4"/>
      <c r="J16" s="4"/>
      <c r="K16" s="4"/>
      <c r="L16" s="4"/>
      <c r="M16" s="4"/>
      <c r="N16" s="4"/>
      <c r="O16" s="9">
        <f t="shared" si="0"/>
        <v>0</v>
      </c>
    </row>
    <row r="17" spans="1:17" x14ac:dyDescent="0.2">
      <c r="A17" t="s">
        <v>26</v>
      </c>
      <c r="C17">
        <v>7</v>
      </c>
      <c r="D17" s="4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9">
        <f t="shared" si="0"/>
        <v>0</v>
      </c>
    </row>
    <row r="18" spans="1:17" x14ac:dyDescent="0.2">
      <c r="A18" t="s">
        <v>48</v>
      </c>
      <c r="C18">
        <v>8</v>
      </c>
      <c r="D18" s="4"/>
      <c r="E18" s="4">
        <v>12957</v>
      </c>
      <c r="F18" s="4"/>
      <c r="G18" s="4"/>
      <c r="H18" s="4"/>
      <c r="I18" s="4"/>
      <c r="J18" s="4"/>
      <c r="K18" s="4"/>
      <c r="L18" s="4"/>
      <c r="M18" s="4"/>
      <c r="N18" s="4"/>
      <c r="O18" s="9">
        <f t="shared" si="0"/>
        <v>12957</v>
      </c>
    </row>
    <row r="19" spans="1:17" x14ac:dyDescent="0.2">
      <c r="A19" t="s">
        <v>49</v>
      </c>
      <c r="C19">
        <v>9</v>
      </c>
      <c r="D19" s="4">
        <v>83569</v>
      </c>
      <c r="E19" s="4">
        <v>0</v>
      </c>
      <c r="F19" s="4"/>
      <c r="G19" s="4"/>
      <c r="H19" s="4"/>
      <c r="I19" s="4"/>
      <c r="J19" s="4"/>
      <c r="K19" s="4"/>
      <c r="L19" s="4"/>
      <c r="M19" s="4"/>
      <c r="N19" s="4"/>
      <c r="O19" s="9">
        <f t="shared" si="0"/>
        <v>83569</v>
      </c>
    </row>
    <row r="20" spans="1:17" x14ac:dyDescent="0.2">
      <c r="A20" s="32" t="s">
        <v>50</v>
      </c>
      <c r="B20" s="32" t="s">
        <v>35</v>
      </c>
      <c r="C20" s="32">
        <v>10</v>
      </c>
      <c r="D20" s="33">
        <v>33049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>
        <f t="shared" si="0"/>
        <v>33049</v>
      </c>
    </row>
    <row r="21" spans="1:17" x14ac:dyDescent="0.2">
      <c r="A21" s="32" t="s">
        <v>9</v>
      </c>
      <c r="B21" s="32" t="s">
        <v>35</v>
      </c>
      <c r="C21" s="32">
        <v>11</v>
      </c>
      <c r="D21" s="33">
        <v>572956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>
        <f t="shared" si="0"/>
        <v>572956</v>
      </c>
    </row>
    <row r="22" spans="1:17" x14ac:dyDescent="0.2">
      <c r="A22" s="32" t="s">
        <v>14</v>
      </c>
      <c r="B22" s="32" t="s">
        <v>35</v>
      </c>
      <c r="C22" s="32">
        <v>12</v>
      </c>
      <c r="D22" s="33">
        <v>6940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>
        <f t="shared" si="0"/>
        <v>6940</v>
      </c>
    </row>
    <row r="23" spans="1:17" x14ac:dyDescent="0.2">
      <c r="A23" s="32" t="s">
        <v>82</v>
      </c>
      <c r="B23" s="32" t="s">
        <v>35</v>
      </c>
      <c r="C23" s="32">
        <v>13</v>
      </c>
      <c r="D23" s="33">
        <v>1635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>
        <f t="shared" si="0"/>
        <v>1635</v>
      </c>
    </row>
    <row r="24" spans="1:17" x14ac:dyDescent="0.2">
      <c r="A24" t="s">
        <v>10</v>
      </c>
      <c r="C24" s="31">
        <v>14</v>
      </c>
      <c r="D24" s="29">
        <v>6899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9">
        <f t="shared" si="0"/>
        <v>6899</v>
      </c>
    </row>
    <row r="25" spans="1:17" x14ac:dyDescent="0.2">
      <c r="A25" t="s">
        <v>11</v>
      </c>
      <c r="C25" s="31">
        <v>15</v>
      </c>
      <c r="D25" s="29">
        <v>114907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9">
        <f t="shared" si="0"/>
        <v>114907</v>
      </c>
    </row>
    <row r="26" spans="1:17" x14ac:dyDescent="0.2">
      <c r="A26" t="s">
        <v>15</v>
      </c>
      <c r="C26" s="31">
        <v>16</v>
      </c>
      <c r="D26" s="29"/>
      <c r="E26" s="4">
        <v>3810</v>
      </c>
      <c r="F26" s="4"/>
      <c r="G26" s="4"/>
      <c r="H26" s="4"/>
      <c r="I26" s="4"/>
      <c r="J26" s="4"/>
      <c r="K26" s="4"/>
      <c r="L26" s="4"/>
      <c r="M26" s="4"/>
      <c r="N26" s="4"/>
      <c r="O26" s="9">
        <f t="shared" si="0"/>
        <v>3810</v>
      </c>
    </row>
    <row r="27" spans="1:17" x14ac:dyDescent="0.2">
      <c r="A27" t="s">
        <v>67</v>
      </c>
      <c r="C27" s="31">
        <v>17</v>
      </c>
      <c r="D27" s="29"/>
      <c r="E27" s="4">
        <v>1969</v>
      </c>
      <c r="F27" s="4"/>
      <c r="G27" s="4"/>
      <c r="H27" s="4"/>
      <c r="I27" s="4"/>
      <c r="J27" s="4"/>
      <c r="K27" s="4"/>
      <c r="L27" s="4"/>
      <c r="M27" s="4"/>
      <c r="N27" s="4"/>
      <c r="O27" s="9">
        <f t="shared" si="0"/>
        <v>1969</v>
      </c>
    </row>
    <row r="28" spans="1:17" x14ac:dyDescent="0.2">
      <c r="A28" t="s">
        <v>40</v>
      </c>
      <c r="C28" s="31">
        <v>18</v>
      </c>
      <c r="D28" s="35">
        <v>0</v>
      </c>
      <c r="E28" s="5">
        <f>439-324+3673401</f>
        <v>3673516</v>
      </c>
      <c r="F28" s="5">
        <v>39349</v>
      </c>
      <c r="G28" s="5">
        <v>0</v>
      </c>
      <c r="H28" s="5">
        <f>3519+35664</f>
        <v>39183</v>
      </c>
      <c r="I28" s="5">
        <v>17625382</v>
      </c>
      <c r="J28" s="5">
        <v>576887</v>
      </c>
      <c r="K28" s="5">
        <v>25926592</v>
      </c>
      <c r="L28" s="5"/>
      <c r="M28" s="5">
        <v>0</v>
      </c>
      <c r="N28" s="5">
        <v>14466</v>
      </c>
      <c r="O28" s="5">
        <f t="shared" si="0"/>
        <v>47895375</v>
      </c>
    </row>
    <row r="29" spans="1:17" x14ac:dyDescent="0.2">
      <c r="D29" s="4">
        <f t="shared" ref="D29:O29" si="1">SUM(D8:D28)</f>
        <v>968952</v>
      </c>
      <c r="E29" s="4">
        <f t="shared" si="1"/>
        <v>5997959</v>
      </c>
      <c r="F29" s="4">
        <f t="shared" si="1"/>
        <v>39349</v>
      </c>
      <c r="G29" s="4">
        <f t="shared" si="1"/>
        <v>0</v>
      </c>
      <c r="H29" s="4">
        <f t="shared" si="1"/>
        <v>39183</v>
      </c>
      <c r="I29" s="4">
        <f t="shared" si="1"/>
        <v>17625382</v>
      </c>
      <c r="J29" s="4">
        <f t="shared" si="1"/>
        <v>576887</v>
      </c>
      <c r="K29" s="4">
        <f t="shared" si="1"/>
        <v>25926592</v>
      </c>
      <c r="L29" s="4"/>
      <c r="M29" s="4">
        <f t="shared" si="1"/>
        <v>0</v>
      </c>
      <c r="N29" s="4">
        <f t="shared" si="1"/>
        <v>14466</v>
      </c>
      <c r="O29" s="4">
        <f t="shared" si="1"/>
        <v>51188770</v>
      </c>
      <c r="P29" s="4" t="s">
        <v>57</v>
      </c>
      <c r="Q29" s="6"/>
    </row>
    <row r="30" spans="1:17" x14ac:dyDescent="0.2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6"/>
    </row>
    <row r="31" spans="1:17" x14ac:dyDescent="0.2">
      <c r="A31" t="s">
        <v>6</v>
      </c>
      <c r="D31" s="9"/>
      <c r="E31" s="16">
        <f>2460495+100</f>
        <v>2460595</v>
      </c>
      <c r="F31" s="9"/>
      <c r="G31" s="4"/>
      <c r="H31" s="4"/>
      <c r="I31" s="4"/>
      <c r="J31" s="4"/>
      <c r="K31" s="4"/>
      <c r="L31" s="4"/>
      <c r="M31" s="4"/>
      <c r="N31" s="4"/>
      <c r="O31" s="9">
        <f t="shared" ref="O31:O40" si="2">SUM(D31:N31)</f>
        <v>2460595</v>
      </c>
      <c r="P31" s="6">
        <f>SUM(O29:O31)</f>
        <v>53649365</v>
      </c>
    </row>
    <row r="32" spans="1:17" x14ac:dyDescent="0.2">
      <c r="A32" t="s">
        <v>3</v>
      </c>
      <c r="D32" s="4">
        <f>917164-705876-604</f>
        <v>210684</v>
      </c>
      <c r="E32" s="4">
        <v>604</v>
      </c>
      <c r="F32" s="4"/>
      <c r="G32" s="4"/>
      <c r="H32" s="4">
        <v>705876</v>
      </c>
      <c r="I32" s="4"/>
      <c r="J32" s="4"/>
      <c r="K32" s="4"/>
      <c r="L32" s="4"/>
      <c r="M32" s="4"/>
      <c r="N32" s="4"/>
      <c r="O32" s="9">
        <f t="shared" si="2"/>
        <v>917164</v>
      </c>
      <c r="P32" t="s">
        <v>57</v>
      </c>
    </row>
    <row r="33" spans="1:19" x14ac:dyDescent="0.2">
      <c r="A33" t="s">
        <v>36</v>
      </c>
      <c r="D33" s="4">
        <f>404960+23453+655027+34392+1</f>
        <v>1117833</v>
      </c>
      <c r="E33" s="4">
        <f>12986+53222+497439+29610</f>
        <v>593257</v>
      </c>
      <c r="F33" s="4"/>
      <c r="G33" s="4"/>
      <c r="H33" s="4"/>
      <c r="I33" s="4"/>
      <c r="J33" s="4">
        <v>969</v>
      </c>
      <c r="K33" s="4"/>
      <c r="L33" s="4"/>
      <c r="M33" s="4"/>
      <c r="N33" s="4"/>
      <c r="O33" s="9">
        <f t="shared" si="2"/>
        <v>1712059</v>
      </c>
      <c r="P33" t="s">
        <v>57</v>
      </c>
    </row>
    <row r="34" spans="1:19" s="40" customFormat="1" x14ac:dyDescent="0.2">
      <c r="A34" s="40" t="s">
        <v>13</v>
      </c>
      <c r="B34" s="40" t="s">
        <v>35</v>
      </c>
      <c r="D34" s="41">
        <f>286822-3481-789-500</f>
        <v>282052</v>
      </c>
      <c r="E34" s="41">
        <f>789+500</f>
        <v>1289</v>
      </c>
      <c r="F34" s="41"/>
      <c r="G34" s="41"/>
      <c r="H34" s="41"/>
      <c r="I34" s="41"/>
      <c r="J34" s="41">
        <v>3481</v>
      </c>
      <c r="K34" s="41"/>
      <c r="L34" s="41"/>
      <c r="M34" s="41"/>
      <c r="N34" s="41"/>
      <c r="O34" s="41">
        <f t="shared" si="2"/>
        <v>286822</v>
      </c>
      <c r="P34" s="40" t="s">
        <v>57</v>
      </c>
    </row>
    <row r="35" spans="1:19" x14ac:dyDescent="0.2">
      <c r="A35" t="s">
        <v>42</v>
      </c>
      <c r="D35" s="4"/>
      <c r="E35" s="4"/>
      <c r="F35" s="4"/>
      <c r="G35" s="4"/>
      <c r="H35" s="4"/>
      <c r="I35" s="4">
        <f>485388-12070</f>
        <v>473318</v>
      </c>
      <c r="J35" s="4">
        <v>12070</v>
      </c>
      <c r="K35" s="4"/>
      <c r="L35" s="4">
        <v>0</v>
      </c>
      <c r="M35" s="4"/>
      <c r="N35" s="4"/>
      <c r="O35" s="9">
        <f t="shared" si="2"/>
        <v>485388</v>
      </c>
      <c r="P35" t="s">
        <v>57</v>
      </c>
    </row>
    <row r="36" spans="1:19" x14ac:dyDescent="0.2">
      <c r="A36" t="s">
        <v>43</v>
      </c>
      <c r="D36" s="4"/>
      <c r="E36" s="4"/>
      <c r="F36" s="4"/>
      <c r="G36" s="4"/>
      <c r="H36" s="4"/>
      <c r="I36" s="4">
        <v>1260873</v>
      </c>
      <c r="J36" s="4">
        <v>29434</v>
      </c>
      <c r="K36" s="4"/>
      <c r="L36" s="4"/>
      <c r="M36" s="4"/>
      <c r="N36" s="4"/>
      <c r="O36" s="9">
        <f t="shared" si="2"/>
        <v>1290307</v>
      </c>
      <c r="P36" t="s">
        <v>57</v>
      </c>
    </row>
    <row r="37" spans="1:19" x14ac:dyDescent="0.2">
      <c r="A37" t="s">
        <v>44</v>
      </c>
      <c r="D37" s="4"/>
      <c r="E37" s="4"/>
      <c r="F37" s="4"/>
      <c r="G37" s="4"/>
      <c r="H37" s="4"/>
      <c r="I37" s="4">
        <v>2647832</v>
      </c>
      <c r="J37" s="4">
        <v>53552</v>
      </c>
      <c r="K37" s="4"/>
      <c r="L37" s="4"/>
      <c r="M37" s="4"/>
      <c r="N37" s="4"/>
      <c r="O37" s="9">
        <f t="shared" si="2"/>
        <v>2701384</v>
      </c>
      <c r="P37" t="s">
        <v>57</v>
      </c>
    </row>
    <row r="38" spans="1:19" x14ac:dyDescent="0.2">
      <c r="A38" t="s">
        <v>45</v>
      </c>
      <c r="D38" s="4"/>
      <c r="E38" s="4"/>
      <c r="F38" s="4"/>
      <c r="G38" s="4"/>
      <c r="H38" s="4"/>
      <c r="I38" s="4">
        <v>567393</v>
      </c>
      <c r="J38" s="4">
        <v>13571</v>
      </c>
      <c r="K38" s="4"/>
      <c r="L38" s="4"/>
      <c r="M38" s="4"/>
      <c r="N38" s="4"/>
      <c r="O38" s="9">
        <f t="shared" si="2"/>
        <v>580964</v>
      </c>
      <c r="P38" t="s">
        <v>57</v>
      </c>
    </row>
    <row r="39" spans="1:19" x14ac:dyDescent="0.2">
      <c r="A39" t="s">
        <v>63</v>
      </c>
      <c r="D39" s="4"/>
      <c r="E39" s="4"/>
      <c r="F39" s="4"/>
      <c r="G39" s="4"/>
      <c r="H39" s="4">
        <v>134581</v>
      </c>
      <c r="I39" s="4">
        <v>126087</v>
      </c>
      <c r="J39" s="4">
        <v>3876</v>
      </c>
      <c r="K39" s="4"/>
      <c r="L39" s="4"/>
      <c r="M39" s="4"/>
      <c r="N39" s="4"/>
      <c r="O39" s="9">
        <f t="shared" si="2"/>
        <v>264544</v>
      </c>
      <c r="P39" t="s">
        <v>57</v>
      </c>
    </row>
    <row r="40" spans="1:19" x14ac:dyDescent="0.2">
      <c r="A40" t="s">
        <v>64</v>
      </c>
      <c r="D40" s="5"/>
      <c r="E40" s="5"/>
      <c r="F40" s="5"/>
      <c r="G40" s="5"/>
      <c r="H40" s="5">
        <v>0</v>
      </c>
      <c r="I40" s="5">
        <v>1260873</v>
      </c>
      <c r="J40" s="5">
        <v>14565</v>
      </c>
      <c r="K40" s="5"/>
      <c r="L40" s="5"/>
      <c r="M40" s="5"/>
      <c r="N40" s="5"/>
      <c r="O40" s="13">
        <f t="shared" si="2"/>
        <v>1275438</v>
      </c>
      <c r="P40" t="s">
        <v>57</v>
      </c>
    </row>
    <row r="41" spans="1:19" x14ac:dyDescent="0.2">
      <c r="D41" s="4">
        <f t="shared" ref="D41:O41" si="3">SUM(D29:D40)</f>
        <v>2579521</v>
      </c>
      <c r="E41" s="4">
        <f t="shared" si="3"/>
        <v>9053704</v>
      </c>
      <c r="F41" s="4">
        <f t="shared" si="3"/>
        <v>39349</v>
      </c>
      <c r="G41" s="4">
        <f t="shared" si="3"/>
        <v>0</v>
      </c>
      <c r="H41" s="4">
        <f t="shared" si="3"/>
        <v>879640</v>
      </c>
      <c r="I41" s="4">
        <f t="shared" si="3"/>
        <v>23961758</v>
      </c>
      <c r="J41" s="4">
        <f t="shared" si="3"/>
        <v>708405</v>
      </c>
      <c r="K41" s="4">
        <f t="shared" si="3"/>
        <v>25926592</v>
      </c>
      <c r="L41" s="4">
        <f t="shared" si="3"/>
        <v>0</v>
      </c>
      <c r="M41" s="4">
        <f t="shared" si="3"/>
        <v>0</v>
      </c>
      <c r="N41" s="4">
        <f t="shared" si="3"/>
        <v>14466</v>
      </c>
      <c r="O41" s="4">
        <f t="shared" si="3"/>
        <v>63163435</v>
      </c>
    </row>
    <row r="42" spans="1:19" x14ac:dyDescent="0.2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9" x14ac:dyDescent="0.2">
      <c r="A43" t="s">
        <v>60</v>
      </c>
      <c r="D43" s="4"/>
      <c r="E43" s="4"/>
      <c r="F43" s="4"/>
      <c r="G43" s="4"/>
      <c r="H43" s="4"/>
      <c r="I43" s="4"/>
      <c r="J43" s="4">
        <v>12716</v>
      </c>
      <c r="K43" s="4"/>
      <c r="L43" s="4"/>
      <c r="M43" s="4"/>
      <c r="N43" s="4"/>
      <c r="O43" s="9">
        <f>SUM(D43:N43)</f>
        <v>12716</v>
      </c>
      <c r="P43" t="s">
        <v>57</v>
      </c>
    </row>
    <row r="44" spans="1:19" x14ac:dyDescent="0.2">
      <c r="A44" t="s">
        <v>46</v>
      </c>
      <c r="D44" s="4"/>
      <c r="E44" s="4"/>
      <c r="F44" s="4"/>
      <c r="G44" s="4"/>
      <c r="H44" s="4"/>
      <c r="I44" s="4"/>
      <c r="J44" s="4">
        <v>0</v>
      </c>
      <c r="K44" s="4"/>
      <c r="L44" s="4"/>
      <c r="M44" s="4"/>
      <c r="N44" s="4"/>
      <c r="O44" s="9">
        <f>SUM(D44:N44)</f>
        <v>0</v>
      </c>
      <c r="P44" t="s">
        <v>57</v>
      </c>
    </row>
    <row r="45" spans="1:19" x14ac:dyDescent="0.2">
      <c r="A45" t="s">
        <v>61</v>
      </c>
      <c r="D45" s="4"/>
      <c r="E45" s="4"/>
      <c r="F45" s="4"/>
      <c r="G45" s="4"/>
      <c r="H45" s="4"/>
      <c r="I45" s="4"/>
      <c r="J45" s="4">
        <v>427387</v>
      </c>
      <c r="K45" s="4"/>
      <c r="L45" s="4">
        <v>0</v>
      </c>
      <c r="M45" s="4"/>
      <c r="N45" s="4"/>
      <c r="O45" s="9">
        <f>SUM(D45:N45)</f>
        <v>427387</v>
      </c>
      <c r="P45" t="s">
        <v>57</v>
      </c>
    </row>
    <row r="46" spans="1:19" s="31" customFormat="1" x14ac:dyDescent="0.2">
      <c r="A46" s="31" t="s">
        <v>62</v>
      </c>
      <c r="D46" s="39"/>
      <c r="E46" s="39"/>
      <c r="F46" s="39"/>
      <c r="G46" s="39"/>
      <c r="H46" s="39"/>
      <c r="I46" s="39"/>
      <c r="J46" s="39">
        <v>160500</v>
      </c>
      <c r="K46" s="39"/>
      <c r="L46" s="39">
        <v>0</v>
      </c>
      <c r="M46" s="39"/>
      <c r="N46" s="39"/>
      <c r="O46" s="39">
        <f>SUM(D46:N46)</f>
        <v>160500</v>
      </c>
      <c r="P46" s="31" t="s">
        <v>57</v>
      </c>
    </row>
    <row r="47" spans="1:19" x14ac:dyDescent="0.2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6"/>
      <c r="S47" s="9"/>
    </row>
    <row r="48" spans="1:19" x14ac:dyDescent="0.2">
      <c r="A48" s="23" t="s">
        <v>78</v>
      </c>
      <c r="B48" s="21"/>
      <c r="C48" s="21"/>
      <c r="D48" s="5">
        <f>SUM(D41:D46)</f>
        <v>2579521</v>
      </c>
      <c r="E48" s="5">
        <f t="shared" ref="E48:O48" si="4">SUM(E41:E46)</f>
        <v>9053704</v>
      </c>
      <c r="F48" s="5">
        <f t="shared" si="4"/>
        <v>39349</v>
      </c>
      <c r="G48" s="5">
        <f t="shared" si="4"/>
        <v>0</v>
      </c>
      <c r="H48" s="5">
        <f t="shared" si="4"/>
        <v>879640</v>
      </c>
      <c r="I48" s="5">
        <f t="shared" si="4"/>
        <v>23961758</v>
      </c>
      <c r="J48" s="5">
        <f t="shared" si="4"/>
        <v>1309008</v>
      </c>
      <c r="K48" s="5">
        <f t="shared" si="4"/>
        <v>25926592</v>
      </c>
      <c r="L48" s="5">
        <f t="shared" si="4"/>
        <v>0</v>
      </c>
      <c r="M48" s="5">
        <f t="shared" si="4"/>
        <v>0</v>
      </c>
      <c r="N48" s="5">
        <f t="shared" si="4"/>
        <v>14466</v>
      </c>
      <c r="O48" s="5">
        <f t="shared" si="4"/>
        <v>63764038</v>
      </c>
      <c r="S48" s="11"/>
    </row>
    <row r="49" spans="1:15" x14ac:dyDescent="0.2">
      <c r="A49" s="8"/>
      <c r="F49" s="4"/>
      <c r="G49" s="4"/>
      <c r="H49" s="4"/>
      <c r="I49" s="4"/>
      <c r="J49" s="4"/>
      <c r="K49" s="4"/>
      <c r="L49" s="4"/>
      <c r="M49" s="4"/>
      <c r="N49" s="4"/>
    </row>
    <row r="50" spans="1:15" x14ac:dyDescent="0.2">
      <c r="A50" s="8" t="s">
        <v>79</v>
      </c>
      <c r="F50" s="4"/>
      <c r="G50" s="4"/>
      <c r="H50" s="4"/>
      <c r="I50" s="30">
        <v>-22000</v>
      </c>
      <c r="J50" s="4"/>
      <c r="K50" s="4"/>
      <c r="L50" s="4"/>
      <c r="M50" s="4"/>
      <c r="N50" s="4"/>
      <c r="O50" s="9">
        <f t="shared" ref="O50:O55" si="5">SUM(D50:N50)</f>
        <v>-22000</v>
      </c>
    </row>
    <row r="51" spans="1:15" x14ac:dyDescent="0.2">
      <c r="A51" s="8"/>
      <c r="F51" s="4"/>
      <c r="G51" s="4"/>
      <c r="H51" s="4"/>
      <c r="I51" s="30">
        <v>-6200</v>
      </c>
      <c r="J51" s="4"/>
      <c r="K51" s="4"/>
      <c r="L51" s="4">
        <f>-L48</f>
        <v>0</v>
      </c>
      <c r="M51" s="4"/>
      <c r="N51" s="4"/>
      <c r="O51" s="9">
        <f t="shared" si="5"/>
        <v>-6200</v>
      </c>
    </row>
    <row r="52" spans="1:15" x14ac:dyDescent="0.2">
      <c r="A52" s="8"/>
      <c r="E52" t="s">
        <v>83</v>
      </c>
      <c r="F52" s="4">
        <v>-22281</v>
      </c>
      <c r="G52" s="4"/>
      <c r="H52" s="4"/>
      <c r="I52" s="30"/>
      <c r="J52" s="4"/>
      <c r="K52" s="4"/>
      <c r="L52" s="4"/>
      <c r="M52" s="4"/>
      <c r="N52" s="4"/>
      <c r="O52" s="9">
        <f t="shared" si="5"/>
        <v>-22281</v>
      </c>
    </row>
    <row r="53" spans="1:15" x14ac:dyDescent="0.2">
      <c r="A53" s="8"/>
      <c r="G53" s="4"/>
      <c r="H53" s="4">
        <f>-H48</f>
        <v>-879640</v>
      </c>
      <c r="I53" s="30"/>
      <c r="J53" s="4"/>
      <c r="K53" s="4"/>
      <c r="L53" s="4"/>
      <c r="M53" s="4"/>
      <c r="N53" s="4"/>
      <c r="O53" s="9">
        <f t="shared" si="5"/>
        <v>-879640</v>
      </c>
    </row>
    <row r="54" spans="1:15" x14ac:dyDescent="0.2">
      <c r="A54" s="8"/>
      <c r="D54" s="21"/>
      <c r="E54" s="21" t="s">
        <v>84</v>
      </c>
      <c r="F54" s="5">
        <v>-39349</v>
      </c>
      <c r="G54" s="5"/>
      <c r="H54" s="5"/>
      <c r="I54" s="5"/>
      <c r="J54" s="5"/>
      <c r="K54" s="5"/>
      <c r="L54" s="5"/>
      <c r="M54" s="5"/>
      <c r="N54" s="5">
        <v>0</v>
      </c>
      <c r="O54" s="5">
        <f t="shared" si="5"/>
        <v>-39349</v>
      </c>
    </row>
    <row r="55" spans="1:15" ht="13.5" thickBot="1" x14ac:dyDescent="0.25">
      <c r="A55" s="24" t="s">
        <v>77</v>
      </c>
      <c r="B55" s="22"/>
      <c r="C55" s="22"/>
      <c r="D55" s="15">
        <f>SUM(D48:D54)</f>
        <v>2579521</v>
      </c>
      <c r="E55" s="15">
        <f>SUM(E48:E54)</f>
        <v>9053704</v>
      </c>
      <c r="F55" s="15">
        <f>SUM(F48:F54)</f>
        <v>-22281</v>
      </c>
      <c r="G55" s="15">
        <f t="shared" ref="G55:N55" si="6">SUM(G48:G54)</f>
        <v>0</v>
      </c>
      <c r="H55" s="15">
        <f t="shared" si="6"/>
        <v>0</v>
      </c>
      <c r="I55" s="15">
        <f t="shared" si="6"/>
        <v>23933558</v>
      </c>
      <c r="J55" s="15">
        <f t="shared" si="6"/>
        <v>1309008</v>
      </c>
      <c r="K55" s="15">
        <f t="shared" si="6"/>
        <v>25926592</v>
      </c>
      <c r="L55" s="15">
        <f t="shared" si="6"/>
        <v>0</v>
      </c>
      <c r="M55" s="15">
        <f t="shared" si="6"/>
        <v>0</v>
      </c>
      <c r="N55" s="15">
        <f t="shared" si="6"/>
        <v>14466</v>
      </c>
      <c r="O55" s="15">
        <f t="shared" si="5"/>
        <v>62794568</v>
      </c>
    </row>
    <row r="56" spans="1:15" x14ac:dyDescent="0.2">
      <c r="F56" s="4"/>
      <c r="G56" s="4"/>
      <c r="H56" s="4"/>
      <c r="I56" s="4"/>
      <c r="J56" s="4"/>
      <c r="K56" s="4"/>
      <c r="L56" s="4"/>
      <c r="M56" s="4"/>
      <c r="N56" s="4"/>
      <c r="O56" s="6">
        <f>SUM(O48:O54)</f>
        <v>62794568</v>
      </c>
    </row>
    <row r="57" spans="1:15" x14ac:dyDescent="0.2">
      <c r="F57" s="4" t="s">
        <v>57</v>
      </c>
      <c r="G57" s="4"/>
      <c r="H57" s="4" t="s">
        <v>57</v>
      </c>
      <c r="I57" s="30">
        <f>SUM(I50:I53)</f>
        <v>-28200</v>
      </c>
      <c r="J57" s="4"/>
      <c r="K57" s="4"/>
      <c r="L57" s="9"/>
      <c r="M57" s="4"/>
      <c r="N57" s="4"/>
    </row>
    <row r="58" spans="1:15" x14ac:dyDescent="0.2">
      <c r="F58" s="4"/>
      <c r="G58" s="4"/>
      <c r="H58" s="4"/>
      <c r="I58" s="4" t="s">
        <v>85</v>
      </c>
      <c r="J58" s="4"/>
      <c r="K58" s="4"/>
      <c r="L58" s="9"/>
      <c r="M58" s="4"/>
      <c r="N58" s="4"/>
    </row>
    <row r="59" spans="1:15" x14ac:dyDescent="0.2">
      <c r="F59" s="4"/>
      <c r="G59" s="4"/>
      <c r="H59" s="4"/>
      <c r="I59" s="4"/>
      <c r="J59" s="4"/>
      <c r="K59" s="4"/>
      <c r="L59" s="9"/>
      <c r="M59" s="4"/>
      <c r="N59" s="4"/>
    </row>
    <row r="60" spans="1:15" x14ac:dyDescent="0.2">
      <c r="F60" s="4"/>
      <c r="G60" s="4"/>
      <c r="H60" s="4"/>
      <c r="I60" s="4"/>
      <c r="J60" s="4"/>
      <c r="K60" s="4"/>
      <c r="L60" s="4"/>
      <c r="M60" s="4"/>
      <c r="N60" s="4"/>
    </row>
    <row r="61" spans="1:15" x14ac:dyDescent="0.2">
      <c r="F61" s="4"/>
      <c r="G61" s="4"/>
      <c r="H61" s="4"/>
      <c r="I61" s="4"/>
      <c r="J61" s="4"/>
      <c r="K61" s="4"/>
      <c r="L61" s="4"/>
      <c r="M61" s="4"/>
      <c r="N61" s="4"/>
    </row>
    <row r="62" spans="1:15" x14ac:dyDescent="0.2">
      <c r="F62" s="4"/>
      <c r="G62" s="4"/>
      <c r="H62" s="4"/>
      <c r="I62" s="4"/>
      <c r="J62" s="4"/>
      <c r="K62" s="4"/>
      <c r="L62" s="4"/>
      <c r="M62" s="4"/>
      <c r="N62" s="4"/>
    </row>
    <row r="63" spans="1:15" x14ac:dyDescent="0.2">
      <c r="F63" s="4"/>
      <c r="G63" s="4"/>
      <c r="H63" s="4"/>
      <c r="I63" s="4"/>
      <c r="J63" s="4"/>
      <c r="K63" s="4"/>
      <c r="L63" s="4"/>
      <c r="M63" s="4"/>
      <c r="N63" s="4"/>
    </row>
    <row r="64" spans="1:15" x14ac:dyDescent="0.2">
      <c r="F64" s="4"/>
      <c r="G64" s="4"/>
      <c r="H64" s="4"/>
      <c r="I64" s="4"/>
      <c r="J64" s="4"/>
      <c r="K64" s="4"/>
      <c r="L64" s="4"/>
      <c r="M64" s="4"/>
      <c r="N64" s="4"/>
    </row>
    <row r="65" spans="6:14" x14ac:dyDescent="0.2">
      <c r="F65" s="4"/>
      <c r="G65" s="4"/>
      <c r="H65" s="4"/>
      <c r="I65" s="4"/>
      <c r="J65" s="4"/>
      <c r="K65" s="4"/>
      <c r="L65" s="4"/>
      <c r="M65" s="4"/>
      <c r="N65" s="4"/>
    </row>
    <row r="66" spans="6:14" x14ac:dyDescent="0.2">
      <c r="F66" s="4"/>
      <c r="G66" s="4"/>
      <c r="H66" s="4"/>
      <c r="I66" s="4"/>
      <c r="J66" s="4"/>
      <c r="K66" s="4"/>
      <c r="L66" s="4"/>
      <c r="M66" s="4"/>
      <c r="N66" s="4"/>
    </row>
    <row r="67" spans="6:14" x14ac:dyDescent="0.2">
      <c r="F67" s="4"/>
      <c r="G67" s="4"/>
      <c r="H67" s="4"/>
      <c r="I67" s="4"/>
      <c r="J67" s="4"/>
      <c r="K67" s="4"/>
      <c r="L67" s="4"/>
      <c r="M67" s="4"/>
      <c r="N67" s="4"/>
    </row>
    <row r="68" spans="6:14" x14ac:dyDescent="0.2">
      <c r="F68" s="4"/>
      <c r="G68" s="4"/>
      <c r="H68" s="4"/>
      <c r="I68" s="4"/>
      <c r="J68" s="4"/>
      <c r="K68" s="4"/>
      <c r="L68" s="4"/>
      <c r="M68" s="4"/>
      <c r="N68" s="4"/>
    </row>
    <row r="69" spans="6:14" x14ac:dyDescent="0.2">
      <c r="N69" s="4"/>
    </row>
    <row r="70" spans="6:14" x14ac:dyDescent="0.2">
      <c r="N70" s="4"/>
    </row>
    <row r="71" spans="6:14" x14ac:dyDescent="0.2">
      <c r="N71" s="4"/>
    </row>
    <row r="72" spans="6:14" x14ac:dyDescent="0.2">
      <c r="N72" s="4"/>
    </row>
    <row r="73" spans="6:14" x14ac:dyDescent="0.2">
      <c r="N73" s="4"/>
    </row>
    <row r="74" spans="6:14" x14ac:dyDescent="0.2">
      <c r="N74" s="4"/>
    </row>
    <row r="75" spans="6:14" x14ac:dyDescent="0.2">
      <c r="N75" s="4"/>
    </row>
    <row r="76" spans="6:14" x14ac:dyDescent="0.2">
      <c r="N76" s="4"/>
    </row>
    <row r="77" spans="6:14" x14ac:dyDescent="0.2">
      <c r="N77" s="4"/>
    </row>
    <row r="78" spans="6:14" x14ac:dyDescent="0.2">
      <c r="N78" s="4"/>
    </row>
    <row r="79" spans="6:14" x14ac:dyDescent="0.2">
      <c r="N79" s="4"/>
    </row>
    <row r="80" spans="6:14" x14ac:dyDescent="0.2">
      <c r="N80" s="4"/>
    </row>
    <row r="81" spans="14:14" x14ac:dyDescent="0.2">
      <c r="N81" s="4"/>
    </row>
    <row r="82" spans="14:14" x14ac:dyDescent="0.2">
      <c r="N82" s="4"/>
    </row>
    <row r="83" spans="14:14" x14ac:dyDescent="0.2">
      <c r="N83" s="4"/>
    </row>
    <row r="84" spans="14:14" x14ac:dyDescent="0.2">
      <c r="N84" s="4"/>
    </row>
    <row r="85" spans="14:14" x14ac:dyDescent="0.2">
      <c r="N85" s="4"/>
    </row>
    <row r="86" spans="14:14" x14ac:dyDescent="0.2">
      <c r="N86" s="4"/>
    </row>
    <row r="87" spans="14:14" x14ac:dyDescent="0.2">
      <c r="N87" s="4"/>
    </row>
    <row r="88" spans="14:14" x14ac:dyDescent="0.2">
      <c r="N88" s="4"/>
    </row>
    <row r="89" spans="14:14" x14ac:dyDescent="0.2">
      <c r="N89" s="4"/>
    </row>
    <row r="90" spans="14:14" x14ac:dyDescent="0.2">
      <c r="N90" s="4"/>
    </row>
    <row r="91" spans="14:14" x14ac:dyDescent="0.2">
      <c r="N91" s="4"/>
    </row>
    <row r="92" spans="14:14" x14ac:dyDescent="0.2">
      <c r="N92" s="4"/>
    </row>
    <row r="93" spans="14:14" x14ac:dyDescent="0.2">
      <c r="N93" s="4"/>
    </row>
    <row r="94" spans="14:14" x14ac:dyDescent="0.2">
      <c r="N94" s="4"/>
    </row>
    <row r="95" spans="14:14" x14ac:dyDescent="0.2">
      <c r="N95" s="4"/>
    </row>
    <row r="96" spans="14:14" x14ac:dyDescent="0.2">
      <c r="N96" s="4"/>
    </row>
    <row r="97" spans="14:14" x14ac:dyDescent="0.2">
      <c r="N97" s="4"/>
    </row>
    <row r="98" spans="14:14" x14ac:dyDescent="0.2">
      <c r="N98" s="4"/>
    </row>
    <row r="99" spans="14:14" x14ac:dyDescent="0.2">
      <c r="N99" s="4"/>
    </row>
    <row r="100" spans="14:14" x14ac:dyDescent="0.2">
      <c r="N100" s="4"/>
    </row>
    <row r="101" spans="14:14" x14ac:dyDescent="0.2">
      <c r="N101" s="4"/>
    </row>
    <row r="102" spans="14:14" x14ac:dyDescent="0.2">
      <c r="N102" s="4"/>
    </row>
    <row r="103" spans="14:14" x14ac:dyDescent="0.2">
      <c r="N103" s="4"/>
    </row>
    <row r="104" spans="14:14" x14ac:dyDescent="0.2">
      <c r="N104" s="4"/>
    </row>
    <row r="105" spans="14:14" x14ac:dyDescent="0.2">
      <c r="N105" s="4"/>
    </row>
  </sheetData>
  <phoneticPr fontId="0" type="noConversion"/>
  <pageMargins left="0.25" right="0.25" top="0.5" bottom="1" header="0.5" footer="0.5"/>
  <pageSetup scale="68" orientation="landscape" horizontalDpi="300" verticalDpi="300" r:id="rId1"/>
  <headerFooter alignWithMargins="0">
    <oddFooter>&amp;L&amp;D     &amp;T&amp;Ch:/2006-07 Audit/Information for St of Act/
Info for St of Act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RowHeight="12.75" x14ac:dyDescent="0.2"/>
  <cols>
    <col min="1" max="1" width="3.7109375" customWidth="1"/>
    <col min="4" max="4" width="4.85546875" customWidth="1"/>
    <col min="5" max="5" width="11.7109375" customWidth="1"/>
    <col min="6" max="7" width="9.28515625" customWidth="1"/>
    <col min="8" max="8" width="10.140625" customWidth="1"/>
    <col min="9" max="9" width="9.5703125" customWidth="1"/>
    <col min="10" max="10" width="10.5703125" customWidth="1"/>
    <col min="11" max="11" width="10.28515625" bestFit="1" customWidth="1"/>
    <col min="12" max="12" width="9.28515625" customWidth="1"/>
    <col min="13" max="13" width="8.85546875" customWidth="1"/>
    <col min="14" max="14" width="10.5703125" customWidth="1"/>
    <col min="15" max="15" width="11.85546875" customWidth="1"/>
    <col min="16" max="16" width="9" customWidth="1"/>
    <col min="17" max="17" width="10.7109375" customWidth="1"/>
    <col min="18" max="18" width="11.42578125" customWidth="1"/>
    <col min="19" max="19" width="11.5703125" customWidth="1"/>
    <col min="20" max="20" width="11.5703125" style="4" customWidth="1"/>
    <col min="21" max="21" width="9.5703125" style="4" customWidth="1"/>
    <col min="22" max="22" width="12" style="4" customWidth="1"/>
    <col min="23" max="23" width="12.28515625" customWidth="1"/>
    <col min="24" max="24" width="11" customWidth="1"/>
  </cols>
  <sheetData>
    <row r="1" spans="1:24" x14ac:dyDescent="0.2">
      <c r="A1" t="s">
        <v>142</v>
      </c>
    </row>
    <row r="2" spans="1:24" x14ac:dyDescent="0.2">
      <c r="A2" t="s">
        <v>18</v>
      </c>
      <c r="V2" s="58" t="s">
        <v>94</v>
      </c>
    </row>
    <row r="3" spans="1:24" x14ac:dyDescent="0.2">
      <c r="A3" s="1" t="str">
        <f>+'Rev for St of Act'!A3</f>
        <v>June 30, 2007</v>
      </c>
      <c r="T3" s="25">
        <f>SUM(T8:T12)</f>
        <v>3564344</v>
      </c>
      <c r="U3" s="25"/>
      <c r="V3" s="26">
        <f>+U16+V13+V14+V15+V16</f>
        <v>8862</v>
      </c>
    </row>
    <row r="4" spans="1:24" x14ac:dyDescent="0.2">
      <c r="S4" s="2" t="s">
        <v>73</v>
      </c>
      <c r="T4" s="18" t="s">
        <v>72</v>
      </c>
      <c r="U4" s="18"/>
      <c r="W4" s="2" t="s">
        <v>74</v>
      </c>
    </row>
    <row r="5" spans="1:24" x14ac:dyDescent="0.2">
      <c r="E5" s="2" t="s">
        <v>51</v>
      </c>
      <c r="F5" s="2">
        <v>21</v>
      </c>
      <c r="G5" s="2">
        <v>23</v>
      </c>
      <c r="H5" s="2">
        <v>25</v>
      </c>
      <c r="I5" s="2">
        <v>31</v>
      </c>
      <c r="J5" s="2">
        <v>32</v>
      </c>
      <c r="K5" s="2">
        <v>33</v>
      </c>
      <c r="L5" s="2">
        <v>34</v>
      </c>
      <c r="M5" s="2">
        <v>35</v>
      </c>
      <c r="N5" s="2">
        <v>36</v>
      </c>
      <c r="O5" s="2"/>
      <c r="P5" s="2">
        <v>41</v>
      </c>
      <c r="Q5" s="2">
        <v>43</v>
      </c>
      <c r="R5" s="2">
        <v>44</v>
      </c>
      <c r="S5" s="2" t="s">
        <v>24</v>
      </c>
      <c r="T5" s="18" t="s">
        <v>71</v>
      </c>
      <c r="U5" s="18"/>
      <c r="W5" s="2" t="s">
        <v>24</v>
      </c>
    </row>
    <row r="6" spans="1:24" x14ac:dyDescent="0.2">
      <c r="A6" t="s">
        <v>17</v>
      </c>
      <c r="E6" s="3" t="s">
        <v>20</v>
      </c>
      <c r="F6" s="3" t="s">
        <v>3</v>
      </c>
      <c r="G6" s="3" t="s">
        <v>13</v>
      </c>
      <c r="H6" s="3" t="s">
        <v>47</v>
      </c>
      <c r="I6" s="3" t="s">
        <v>21</v>
      </c>
      <c r="J6" s="3" t="s">
        <v>21</v>
      </c>
      <c r="K6" s="3" t="s">
        <v>21</v>
      </c>
      <c r="L6" s="3" t="s">
        <v>21</v>
      </c>
      <c r="M6" s="3" t="s">
        <v>21</v>
      </c>
      <c r="N6" s="3" t="s">
        <v>21</v>
      </c>
      <c r="O6" s="3" t="s">
        <v>22</v>
      </c>
      <c r="P6" s="10" t="s">
        <v>65</v>
      </c>
      <c r="Q6" s="10" t="s">
        <v>3</v>
      </c>
      <c r="R6" s="10" t="s">
        <v>59</v>
      </c>
      <c r="S6" s="3" t="s">
        <v>22</v>
      </c>
      <c r="T6" s="19" t="s">
        <v>31</v>
      </c>
      <c r="U6" s="19"/>
      <c r="W6" s="3" t="s">
        <v>22</v>
      </c>
    </row>
    <row r="8" spans="1:24" x14ac:dyDescent="0.2">
      <c r="B8" t="s">
        <v>1</v>
      </c>
      <c r="E8" s="4">
        <f>32691691-108777+5637</f>
        <v>32588551</v>
      </c>
      <c r="F8" s="4"/>
      <c r="G8" s="4"/>
      <c r="H8" s="4"/>
      <c r="I8" s="4"/>
      <c r="J8" s="4"/>
      <c r="K8" s="4"/>
      <c r="L8" s="4"/>
      <c r="M8" s="4"/>
      <c r="N8" s="4"/>
      <c r="O8" s="4">
        <f>SUM(E8:N8)</f>
        <v>32588551</v>
      </c>
      <c r="P8" s="4"/>
      <c r="Q8" s="4"/>
      <c r="R8" s="4"/>
      <c r="S8" s="4">
        <f t="shared" ref="S8:S13" si="0">SUM(O8:R8)</f>
        <v>32588551</v>
      </c>
      <c r="T8" s="25">
        <v>2383635</v>
      </c>
      <c r="U8" s="30">
        <v>-515479</v>
      </c>
      <c r="V8" s="29">
        <v>30045</v>
      </c>
      <c r="W8" s="6">
        <f>SUM(S8:V8)</f>
        <v>34486752</v>
      </c>
    </row>
    <row r="9" spans="1:24" x14ac:dyDescent="0.2">
      <c r="B9" t="s">
        <v>4</v>
      </c>
      <c r="E9" s="4">
        <f>19032861-53577</f>
        <v>18979284</v>
      </c>
      <c r="F9" s="4"/>
      <c r="G9" s="4"/>
      <c r="H9" s="4"/>
      <c r="I9" s="4"/>
      <c r="J9" s="4"/>
      <c r="K9" s="4"/>
      <c r="L9" s="4"/>
      <c r="M9" s="4"/>
      <c r="N9" s="4"/>
      <c r="O9" s="4">
        <f t="shared" ref="O9:O16" si="1">SUM(E9:N9)</f>
        <v>18979284</v>
      </c>
      <c r="P9" s="4"/>
      <c r="Q9" s="4"/>
      <c r="R9" s="4"/>
      <c r="S9" s="4">
        <f t="shared" si="0"/>
        <v>18979284</v>
      </c>
      <c r="T9" s="25">
        <v>1174029</v>
      </c>
      <c r="U9" s="30">
        <f>-253892+10</f>
        <v>-253882</v>
      </c>
      <c r="V9" s="29">
        <v>12876</v>
      </c>
      <c r="W9" s="6">
        <f>SUM(S9:V9)</f>
        <v>19912307</v>
      </c>
    </row>
    <row r="10" spans="1:24" x14ac:dyDescent="0.2">
      <c r="B10" t="s">
        <v>5</v>
      </c>
      <c r="E10" s="4">
        <v>897504</v>
      </c>
      <c r="F10" s="4"/>
      <c r="G10" s="4">
        <f>269494-3519</f>
        <v>265975</v>
      </c>
      <c r="H10" s="4"/>
      <c r="I10" s="4"/>
      <c r="J10" s="4"/>
      <c r="K10" s="4"/>
      <c r="L10" s="4"/>
      <c r="M10" s="4"/>
      <c r="N10" s="4"/>
      <c r="O10" s="4">
        <f t="shared" si="1"/>
        <v>1163479</v>
      </c>
      <c r="P10" s="4"/>
      <c r="Q10" s="4"/>
      <c r="R10" s="4"/>
      <c r="S10" s="4">
        <f t="shared" si="0"/>
        <v>1163479</v>
      </c>
      <c r="T10" s="25"/>
      <c r="U10" s="25"/>
      <c r="W10" s="6">
        <f>SUM(S10:V10)</f>
        <v>1163479</v>
      </c>
    </row>
    <row r="11" spans="1:24" x14ac:dyDescent="0.2">
      <c r="B11" t="s">
        <v>2</v>
      </c>
      <c r="E11" s="4"/>
      <c r="F11" s="4"/>
      <c r="G11" s="4"/>
      <c r="H11" s="4">
        <f>1712059-35664</f>
        <v>1676395</v>
      </c>
      <c r="I11" s="4"/>
      <c r="J11" s="4"/>
      <c r="K11" s="4"/>
      <c r="L11" s="4"/>
      <c r="M11" s="4"/>
      <c r="N11" s="4"/>
      <c r="O11" s="4">
        <f t="shared" si="1"/>
        <v>1676395</v>
      </c>
      <c r="P11" s="4"/>
      <c r="Q11" s="4"/>
      <c r="R11" s="4"/>
      <c r="S11" s="4">
        <f t="shared" si="0"/>
        <v>1676395</v>
      </c>
      <c r="T11" s="25">
        <v>6680</v>
      </c>
      <c r="U11" s="25"/>
      <c r="W11" s="6">
        <f>SUM(S11:V11)</f>
        <v>1683075</v>
      </c>
    </row>
    <row r="12" spans="1:24" x14ac:dyDescent="0.2">
      <c r="B12" t="s">
        <v>3</v>
      </c>
      <c r="E12" s="4"/>
      <c r="F12" s="4">
        <f>917164-5800</f>
        <v>911364</v>
      </c>
      <c r="G12" s="4"/>
      <c r="H12" s="4"/>
      <c r="I12" s="4"/>
      <c r="J12" s="4"/>
      <c r="K12" s="4"/>
      <c r="L12" s="4"/>
      <c r="M12" s="4"/>
      <c r="N12" s="4"/>
      <c r="O12" s="4">
        <f t="shared" si="1"/>
        <v>911364</v>
      </c>
      <c r="P12" s="4"/>
      <c r="Q12" s="4"/>
      <c r="R12" s="4"/>
      <c r="S12" s="4">
        <f t="shared" si="0"/>
        <v>911364</v>
      </c>
      <c r="T12" s="25">
        <v>0</v>
      </c>
      <c r="U12" s="25"/>
      <c r="W12" s="6">
        <f>SUM(S12:V12)</f>
        <v>911364</v>
      </c>
      <c r="X12" s="6"/>
    </row>
    <row r="13" spans="1:24" x14ac:dyDescent="0.2">
      <c r="B13" t="s">
        <v>19</v>
      </c>
      <c r="E13" s="4">
        <v>13941</v>
      </c>
      <c r="F13" s="4"/>
      <c r="G13" s="4"/>
      <c r="H13" s="4"/>
      <c r="I13" s="4">
        <f>184250+1006</f>
        <v>185256</v>
      </c>
      <c r="J13" s="4">
        <f>86450+275</f>
        <v>86725</v>
      </c>
      <c r="K13" s="4">
        <f>1107163+3343</f>
        <v>1110506</v>
      </c>
      <c r="L13" s="4">
        <f>216938+926</f>
        <v>217864</v>
      </c>
      <c r="M13" s="4">
        <f>93700+1841</f>
        <v>95541</v>
      </c>
      <c r="N13" s="4">
        <f>680175+1637</f>
        <v>681812</v>
      </c>
      <c r="O13" s="4">
        <f t="shared" si="1"/>
        <v>2391645</v>
      </c>
      <c r="P13" s="4"/>
      <c r="Q13" s="4"/>
      <c r="R13" s="4"/>
      <c r="S13" s="4">
        <f t="shared" si="0"/>
        <v>2391645</v>
      </c>
      <c r="T13" s="50">
        <v>-28762</v>
      </c>
      <c r="U13" s="53">
        <v>37657</v>
      </c>
      <c r="V13" s="26">
        <v>411</v>
      </c>
      <c r="W13" s="6">
        <f>SUM(S13:V16)</f>
        <v>2409402</v>
      </c>
    </row>
    <row r="14" spans="1:24" x14ac:dyDescent="0.2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U14" s="4">
        <v>0</v>
      </c>
      <c r="V14" s="26">
        <v>2995</v>
      </c>
      <c r="W14" s="6"/>
    </row>
    <row r="15" spans="1:24" x14ac:dyDescent="0.2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V15" s="26">
        <v>17270</v>
      </c>
      <c r="W15" s="6"/>
      <c r="X15" s="28"/>
    </row>
    <row r="16" spans="1:24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1"/>
        <v>0</v>
      </c>
      <c r="P16" s="5"/>
      <c r="Q16" s="5"/>
      <c r="R16" s="5"/>
      <c r="S16" s="5">
        <f>SUM(O16:P16)</f>
        <v>0</v>
      </c>
      <c r="T16" s="27"/>
      <c r="U16" s="27">
        <v>-38407</v>
      </c>
      <c r="V16" s="27">
        <v>26593</v>
      </c>
      <c r="W16" s="20"/>
    </row>
    <row r="17" spans="2:24" x14ac:dyDescent="0.2">
      <c r="E17" s="4">
        <f>SUM(E8:E16)</f>
        <v>52479280</v>
      </c>
      <c r="F17" s="4">
        <f>SUM(F8:F16)</f>
        <v>911364</v>
      </c>
      <c r="G17" s="4">
        <f>SUM(G8:G16)</f>
        <v>265975</v>
      </c>
      <c r="H17" s="4">
        <f>SUM(H8:H16)</f>
        <v>1676395</v>
      </c>
      <c r="I17" s="4">
        <f t="shared" ref="I17:O17" si="2">SUM(I8:I16)</f>
        <v>185256</v>
      </c>
      <c r="J17" s="4">
        <f t="shared" si="2"/>
        <v>86725</v>
      </c>
      <c r="K17" s="4">
        <f t="shared" si="2"/>
        <v>1110506</v>
      </c>
      <c r="L17" s="4">
        <f t="shared" si="2"/>
        <v>217864</v>
      </c>
      <c r="M17" s="4">
        <f t="shared" si="2"/>
        <v>95541</v>
      </c>
      <c r="N17" s="4">
        <f t="shared" si="2"/>
        <v>681812</v>
      </c>
      <c r="O17" s="4">
        <f t="shared" si="2"/>
        <v>57710718</v>
      </c>
      <c r="P17" s="4">
        <f t="shared" ref="P17:V17" si="3">SUM(P8:P16)</f>
        <v>0</v>
      </c>
      <c r="Q17" s="4">
        <f t="shared" si="3"/>
        <v>0</v>
      </c>
      <c r="R17" s="4">
        <f t="shared" si="3"/>
        <v>0</v>
      </c>
      <c r="S17" s="4">
        <f t="shared" si="3"/>
        <v>57710718</v>
      </c>
      <c r="T17" s="4">
        <f t="shared" si="3"/>
        <v>3535582</v>
      </c>
      <c r="U17" s="4">
        <f t="shared" si="3"/>
        <v>-770111</v>
      </c>
      <c r="V17" s="4">
        <f t="shared" si="3"/>
        <v>90190</v>
      </c>
      <c r="W17" s="6">
        <f>SUM(S17:V17)</f>
        <v>60566379</v>
      </c>
      <c r="X17" s="4"/>
    </row>
    <row r="18" spans="2:24" x14ac:dyDescent="0.2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W18" s="6">
        <f>SUM(W8:W15)</f>
        <v>60566379</v>
      </c>
      <c r="X18" s="6"/>
    </row>
    <row r="19" spans="2:24" x14ac:dyDescent="0.2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W19" s="6"/>
    </row>
    <row r="20" spans="2:24" x14ac:dyDescent="0.2">
      <c r="B20" t="s">
        <v>70</v>
      </c>
      <c r="E20" s="4">
        <v>162354</v>
      </c>
      <c r="F20" s="4">
        <v>5800</v>
      </c>
      <c r="G20" s="4">
        <v>0</v>
      </c>
      <c r="H20" s="4">
        <v>0</v>
      </c>
      <c r="I20" s="4"/>
      <c r="J20" s="4"/>
      <c r="K20" s="4"/>
      <c r="L20" s="4"/>
      <c r="M20" s="4"/>
      <c r="N20" s="4"/>
      <c r="O20" s="4">
        <f>SUM(E20:N20)</f>
        <v>168154</v>
      </c>
      <c r="P20" s="4">
        <v>389472</v>
      </c>
      <c r="Q20" s="4">
        <v>8309354</v>
      </c>
      <c r="R20" s="4">
        <v>2229487</v>
      </c>
      <c r="S20" s="9">
        <f>SUM(O20:R20)</f>
        <v>11096467</v>
      </c>
      <c r="T20" s="17">
        <v>-11096467</v>
      </c>
      <c r="U20" s="17"/>
      <c r="W20" s="11">
        <f>SUM(S20:V20)</f>
        <v>0</v>
      </c>
    </row>
    <row r="21" spans="2:24" x14ac:dyDescent="0.2">
      <c r="B21" t="s">
        <v>68</v>
      </c>
      <c r="E21" s="4">
        <v>705876</v>
      </c>
      <c r="F21" s="4"/>
      <c r="G21" s="4">
        <v>3519</v>
      </c>
      <c r="H21" s="4">
        <v>35664</v>
      </c>
      <c r="I21" s="4"/>
      <c r="J21" s="4">
        <v>134581</v>
      </c>
      <c r="K21" s="4"/>
      <c r="L21" s="4"/>
      <c r="M21" s="4"/>
      <c r="N21" s="4"/>
      <c r="O21" s="4">
        <f>SUM(E21:N21)</f>
        <v>879640</v>
      </c>
      <c r="P21" s="4"/>
      <c r="Q21" s="4">
        <v>0</v>
      </c>
      <c r="R21" s="4">
        <v>0</v>
      </c>
      <c r="S21" s="9">
        <f>SUM(O21:R21)</f>
        <v>879640</v>
      </c>
      <c r="T21" s="4">
        <v>-879640</v>
      </c>
      <c r="W21" s="11">
        <f>SUM(S21:V21)</f>
        <v>0</v>
      </c>
    </row>
    <row r="22" spans="2:24" x14ac:dyDescent="0.2">
      <c r="B22" t="s">
        <v>69</v>
      </c>
      <c r="E22" s="4">
        <v>0</v>
      </c>
      <c r="F22" s="4"/>
      <c r="G22" s="4"/>
      <c r="H22" s="4"/>
      <c r="I22" s="4"/>
      <c r="J22" s="4"/>
      <c r="K22" s="4"/>
      <c r="L22" s="4"/>
      <c r="M22" s="4"/>
      <c r="N22" s="4"/>
      <c r="O22" s="4">
        <f>SUM(E22:N22)</f>
        <v>0</v>
      </c>
      <c r="P22" s="4"/>
      <c r="Q22" s="4"/>
      <c r="R22" s="4"/>
      <c r="S22" s="9">
        <f>SUM(O22:R22)</f>
        <v>0</v>
      </c>
      <c r="W22" s="11">
        <f>SUM(S22:V22)</f>
        <v>0</v>
      </c>
    </row>
    <row r="23" spans="2:24" x14ac:dyDescent="0.2">
      <c r="B23" t="s">
        <v>23</v>
      </c>
      <c r="E23" s="5">
        <v>101515</v>
      </c>
      <c r="F23" s="5"/>
      <c r="G23" s="5"/>
      <c r="H23" s="5"/>
      <c r="I23" s="5">
        <v>310000</v>
      </c>
      <c r="J23" s="5">
        <v>1235000</v>
      </c>
      <c r="K23" s="5">
        <v>1700000</v>
      </c>
      <c r="L23" s="5">
        <v>425000</v>
      </c>
      <c r="M23" s="5">
        <v>65000</v>
      </c>
      <c r="N23" s="5">
        <v>530000</v>
      </c>
      <c r="O23" s="5">
        <f>SUM(E23:N23)</f>
        <v>4366515</v>
      </c>
      <c r="P23" s="5"/>
      <c r="Q23" s="5"/>
      <c r="R23" s="5"/>
      <c r="S23" s="5">
        <f>SUM(O23:R23)</f>
        <v>4366515</v>
      </c>
      <c r="T23" s="5">
        <v>-4366515</v>
      </c>
      <c r="U23" s="5"/>
      <c r="V23" s="5"/>
      <c r="W23" s="20">
        <f>SUM(S23:V23)</f>
        <v>0</v>
      </c>
    </row>
    <row r="24" spans="2:24" x14ac:dyDescent="0.2">
      <c r="P24" s="4"/>
      <c r="Q24" s="4"/>
      <c r="R24" s="4"/>
      <c r="S24" s="4"/>
      <c r="W24" s="6">
        <f>SUM(S24:T24)</f>
        <v>0</v>
      </c>
    </row>
    <row r="25" spans="2:24" x14ac:dyDescent="0.2">
      <c r="E25" s="6">
        <f t="shared" ref="E25:V25" si="4">SUM(E17:E23)</f>
        <v>53449025</v>
      </c>
      <c r="F25" s="6">
        <f t="shared" si="4"/>
        <v>917164</v>
      </c>
      <c r="G25" s="6">
        <f t="shared" si="4"/>
        <v>269494</v>
      </c>
      <c r="H25" s="6">
        <f t="shared" si="4"/>
        <v>1712059</v>
      </c>
      <c r="I25" s="6">
        <f t="shared" si="4"/>
        <v>495256</v>
      </c>
      <c r="J25" s="6">
        <f t="shared" si="4"/>
        <v>1456306</v>
      </c>
      <c r="K25" s="6">
        <f t="shared" si="4"/>
        <v>2810506</v>
      </c>
      <c r="L25" s="6">
        <f t="shared" si="4"/>
        <v>642864</v>
      </c>
      <c r="M25" s="6">
        <f t="shared" si="4"/>
        <v>160541</v>
      </c>
      <c r="N25" s="6">
        <f t="shared" si="4"/>
        <v>1211812</v>
      </c>
      <c r="O25" s="6">
        <f t="shared" si="4"/>
        <v>63125027</v>
      </c>
      <c r="P25" s="6">
        <f t="shared" si="4"/>
        <v>389472</v>
      </c>
      <c r="Q25" s="6">
        <f t="shared" si="4"/>
        <v>8309354</v>
      </c>
      <c r="R25" s="6">
        <f t="shared" si="4"/>
        <v>2229487</v>
      </c>
      <c r="S25" s="6">
        <f t="shared" si="4"/>
        <v>74053340</v>
      </c>
      <c r="T25" s="6">
        <f t="shared" si="4"/>
        <v>-12807040</v>
      </c>
      <c r="U25" s="6">
        <f t="shared" si="4"/>
        <v>-770111</v>
      </c>
      <c r="V25" s="6">
        <f t="shared" si="4"/>
        <v>90190</v>
      </c>
      <c r="W25" s="6">
        <f>SUM(S25:V25)</f>
        <v>60566379</v>
      </c>
      <c r="X25" s="4"/>
    </row>
    <row r="26" spans="2:24" x14ac:dyDescent="0.2">
      <c r="E26" s="11"/>
      <c r="F26" s="11"/>
      <c r="G26" s="11"/>
      <c r="H26" s="11"/>
      <c r="Q26" s="6"/>
      <c r="R26" s="6">
        <f>SUM(P25:R25)</f>
        <v>10928313</v>
      </c>
      <c r="S26" s="4">
        <f>+O25+R26</f>
        <v>74053340</v>
      </c>
      <c r="W26" s="4"/>
      <c r="X26" s="6"/>
    </row>
    <row r="27" spans="2:24" x14ac:dyDescent="0.2">
      <c r="E27" s="9">
        <v>52737512</v>
      </c>
      <c r="F27" s="6"/>
      <c r="G27" s="6"/>
      <c r="H27" s="6"/>
      <c r="R27" s="6"/>
      <c r="S27" s="4"/>
      <c r="U27" s="29" t="s">
        <v>87</v>
      </c>
      <c r="V27" s="29"/>
      <c r="W27" s="6"/>
    </row>
    <row r="28" spans="2:24" x14ac:dyDescent="0.2">
      <c r="E28" s="4">
        <v>705876</v>
      </c>
      <c r="N28" s="45" t="s">
        <v>89</v>
      </c>
      <c r="O28" s="43">
        <v>3564344</v>
      </c>
      <c r="Q28" t="s">
        <v>86</v>
      </c>
      <c r="S28" s="4">
        <v>73168063</v>
      </c>
      <c r="V28" s="35">
        <v>42921</v>
      </c>
    </row>
    <row r="29" spans="2:24" x14ac:dyDescent="0.2">
      <c r="E29" s="5">
        <v>5637</v>
      </c>
      <c r="N29" s="46" t="s">
        <v>92</v>
      </c>
      <c r="O29" s="44">
        <v>-38407</v>
      </c>
      <c r="S29" s="4">
        <v>879640</v>
      </c>
      <c r="U29" s="78" t="s">
        <v>88</v>
      </c>
      <c r="V29" s="29">
        <f>+V28-V30</f>
        <v>30044.7</v>
      </c>
    </row>
    <row r="30" spans="2:24" x14ac:dyDescent="0.2">
      <c r="E30" s="4">
        <f>SUM(E27:E29)</f>
        <v>53449025</v>
      </c>
      <c r="N30" s="56" t="s">
        <v>93</v>
      </c>
      <c r="O30" s="42">
        <v>411</v>
      </c>
      <c r="S30" s="5">
        <v>5637</v>
      </c>
      <c r="U30" s="29">
        <v>30</v>
      </c>
      <c r="V30" s="29">
        <f>+V28*0.3</f>
        <v>12876.3</v>
      </c>
    </row>
    <row r="31" spans="2:24" x14ac:dyDescent="0.2">
      <c r="N31" s="56"/>
      <c r="O31" s="42">
        <v>2995</v>
      </c>
      <c r="S31" s="4">
        <f>SUM(S28:S30)</f>
        <v>74053340</v>
      </c>
    </row>
    <row r="32" spans="2:24" x14ac:dyDescent="0.2">
      <c r="B32" t="s">
        <v>70</v>
      </c>
      <c r="E32" s="5">
        <f>168154-5800</f>
        <v>162354</v>
      </c>
      <c r="N32" s="56"/>
      <c r="O32" s="42">
        <v>17270</v>
      </c>
    </row>
    <row r="33" spans="2:23" x14ac:dyDescent="0.2">
      <c r="B33" t="s">
        <v>1</v>
      </c>
      <c r="D33">
        <v>0.67</v>
      </c>
      <c r="E33" s="4">
        <f>+E32*D33</f>
        <v>108777.18000000001</v>
      </c>
      <c r="M33" s="21"/>
      <c r="N33" s="57"/>
      <c r="O33" s="55">
        <v>26593</v>
      </c>
      <c r="S33" s="6">
        <f>+S25-S31</f>
        <v>0</v>
      </c>
    </row>
    <row r="34" spans="2:23" x14ac:dyDescent="0.2">
      <c r="B34" t="s">
        <v>140</v>
      </c>
      <c r="D34">
        <v>0.33</v>
      </c>
      <c r="E34" s="4">
        <f>+E32-E33</f>
        <v>53576.819999999992</v>
      </c>
      <c r="N34" s="47" t="s">
        <v>90</v>
      </c>
      <c r="O34" s="29">
        <v>30045</v>
      </c>
      <c r="T34" s="80">
        <v>0.67</v>
      </c>
      <c r="U34" s="30">
        <v>515479</v>
      </c>
    </row>
    <row r="35" spans="2:23" x14ac:dyDescent="0.2">
      <c r="E35" s="4"/>
      <c r="N35" s="48"/>
      <c r="O35" s="35">
        <v>12876</v>
      </c>
      <c r="T35" s="80">
        <v>0.33</v>
      </c>
      <c r="U35" s="79">
        <v>253892</v>
      </c>
      <c r="V35" s="30"/>
    </row>
    <row r="36" spans="2:23" x14ac:dyDescent="0.2">
      <c r="N36" s="51" t="s">
        <v>91</v>
      </c>
      <c r="O36" s="52">
        <v>28762</v>
      </c>
      <c r="U36" s="30">
        <f>SUM(U34:U35)</f>
        <v>769371</v>
      </c>
      <c r="V36" s="30" t="s">
        <v>141</v>
      </c>
    </row>
    <row r="37" spans="2:23" x14ac:dyDescent="0.2">
      <c r="N37" s="54" t="s">
        <v>92</v>
      </c>
      <c r="O37" s="53">
        <v>37657</v>
      </c>
      <c r="U37" s="30"/>
      <c r="V37" s="30"/>
    </row>
    <row r="38" spans="2:23" x14ac:dyDescent="0.2">
      <c r="N38" s="49"/>
      <c r="O38" s="4"/>
      <c r="U38" s="30"/>
      <c r="V38" s="30"/>
      <c r="W38" s="6"/>
    </row>
    <row r="39" spans="2:23" x14ac:dyDescent="0.2">
      <c r="N39" s="49"/>
      <c r="O39" s="4"/>
    </row>
    <row r="40" spans="2:23" x14ac:dyDescent="0.2">
      <c r="O40" s="4"/>
    </row>
    <row r="41" spans="2:23" x14ac:dyDescent="0.2">
      <c r="O41" s="4"/>
      <c r="Q41" s="14"/>
      <c r="R41" s="14"/>
    </row>
    <row r="42" spans="2:23" x14ac:dyDescent="0.2">
      <c r="Q42" s="14"/>
      <c r="R42" s="14"/>
    </row>
    <row r="43" spans="2:23" x14ac:dyDescent="0.2">
      <c r="Q43" s="14"/>
      <c r="R43" s="14"/>
    </row>
    <row r="45" spans="2:23" x14ac:dyDescent="0.2">
      <c r="S45" s="14"/>
    </row>
    <row r="46" spans="2:23" x14ac:dyDescent="0.2">
      <c r="S46" s="14"/>
    </row>
    <row r="47" spans="2:23" x14ac:dyDescent="0.2">
      <c r="S47" s="14"/>
    </row>
    <row r="48" spans="2:23" x14ac:dyDescent="0.2">
      <c r="S48" s="14"/>
    </row>
    <row r="49" spans="19:19" x14ac:dyDescent="0.2">
      <c r="S49" s="14"/>
    </row>
    <row r="50" spans="19:19" x14ac:dyDescent="0.2">
      <c r="S50" s="14"/>
    </row>
    <row r="51" spans="19:19" x14ac:dyDescent="0.2">
      <c r="S51" s="14"/>
    </row>
    <row r="52" spans="19:19" x14ac:dyDescent="0.2">
      <c r="S52" s="14"/>
    </row>
    <row r="53" spans="19:19" x14ac:dyDescent="0.2">
      <c r="S53" s="14"/>
    </row>
    <row r="54" spans="19:19" x14ac:dyDescent="0.2">
      <c r="S54" s="14"/>
    </row>
    <row r="55" spans="19:19" x14ac:dyDescent="0.2">
      <c r="S55" s="14"/>
    </row>
    <row r="56" spans="19:19" x14ac:dyDescent="0.2">
      <c r="S56" s="14"/>
    </row>
    <row r="57" spans="19:19" x14ac:dyDescent="0.2">
      <c r="S57" s="14"/>
    </row>
    <row r="58" spans="19:19" x14ac:dyDescent="0.2">
      <c r="S58" s="14"/>
    </row>
    <row r="59" spans="19:19" x14ac:dyDescent="0.2">
      <c r="S59" s="14"/>
    </row>
    <row r="60" spans="19:19" x14ac:dyDescent="0.2">
      <c r="S60" s="14"/>
    </row>
    <row r="61" spans="19:19" x14ac:dyDescent="0.2">
      <c r="S61" s="14"/>
    </row>
    <row r="62" spans="19:19" x14ac:dyDescent="0.2">
      <c r="S62" s="14"/>
    </row>
    <row r="63" spans="19:19" x14ac:dyDescent="0.2">
      <c r="S63" s="14"/>
    </row>
    <row r="64" spans="19:19" x14ac:dyDescent="0.2">
      <c r="S64" s="14"/>
    </row>
    <row r="65" spans="19:19" x14ac:dyDescent="0.2">
      <c r="S65" s="14"/>
    </row>
    <row r="66" spans="19:19" x14ac:dyDescent="0.2">
      <c r="S66" s="14"/>
    </row>
    <row r="67" spans="19:19" x14ac:dyDescent="0.2">
      <c r="S67" s="14"/>
    </row>
    <row r="68" spans="19:19" x14ac:dyDescent="0.2">
      <c r="S68" s="14"/>
    </row>
    <row r="69" spans="19:19" x14ac:dyDescent="0.2">
      <c r="S69" s="14"/>
    </row>
    <row r="70" spans="19:19" x14ac:dyDescent="0.2">
      <c r="S70" s="14"/>
    </row>
    <row r="71" spans="19:19" x14ac:dyDescent="0.2">
      <c r="S71" s="14"/>
    </row>
    <row r="72" spans="19:19" x14ac:dyDescent="0.2">
      <c r="S72" s="14"/>
    </row>
    <row r="73" spans="19:19" x14ac:dyDescent="0.2">
      <c r="S73" s="14"/>
    </row>
    <row r="74" spans="19:19" x14ac:dyDescent="0.2">
      <c r="S74" s="14"/>
    </row>
    <row r="75" spans="19:19" x14ac:dyDescent="0.2">
      <c r="S75" s="14"/>
    </row>
    <row r="76" spans="19:19" x14ac:dyDescent="0.2">
      <c r="S76" s="14"/>
    </row>
    <row r="77" spans="19:19" x14ac:dyDescent="0.2">
      <c r="S77" s="14"/>
    </row>
    <row r="78" spans="19:19" x14ac:dyDescent="0.2">
      <c r="S78" s="14"/>
    </row>
    <row r="79" spans="19:19" x14ac:dyDescent="0.2">
      <c r="S79" s="14"/>
    </row>
    <row r="80" spans="19:19" x14ac:dyDescent="0.2">
      <c r="S80" s="14"/>
    </row>
  </sheetData>
  <phoneticPr fontId="0" type="noConversion"/>
  <pageMargins left="0.25" right="0" top="1" bottom="1" header="0.5" footer="0.5"/>
  <pageSetup scale="58" orientation="landscape" horizontalDpi="300" verticalDpi="300" r:id="rId1"/>
  <headerFooter alignWithMargins="0">
    <oddFooter>&amp;L&amp;D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 x14ac:dyDescent="0.2"/>
  <cols>
    <col min="1" max="1" width="40" customWidth="1"/>
    <col min="2" max="2" width="12.28515625" customWidth="1"/>
    <col min="3" max="3" width="12.140625" customWidth="1"/>
    <col min="4" max="4" width="11.85546875" customWidth="1"/>
    <col min="5" max="5" width="11.7109375" customWidth="1"/>
    <col min="6" max="6" width="12" customWidth="1"/>
    <col min="7" max="7" width="14" customWidth="1"/>
    <col min="8" max="8" width="13" customWidth="1"/>
    <col min="9" max="9" width="12.7109375" customWidth="1"/>
  </cols>
  <sheetData>
    <row r="1" spans="1:9" ht="9.9499999999999993" customHeight="1" x14ac:dyDescent="0.2">
      <c r="A1" s="59"/>
      <c r="B1" s="59"/>
      <c r="C1" s="59"/>
      <c r="D1" s="59"/>
      <c r="E1" s="59"/>
      <c r="F1" s="59"/>
      <c r="G1" s="59"/>
    </row>
    <row r="4" spans="1:9" ht="15.6" customHeight="1" x14ac:dyDescent="0.2">
      <c r="B4" s="60"/>
      <c r="C4" s="60" t="s">
        <v>95</v>
      </c>
      <c r="D4" s="60" t="s">
        <v>96</v>
      </c>
      <c r="E4" s="60" t="s">
        <v>97</v>
      </c>
      <c r="F4" s="60"/>
    </row>
    <row r="5" spans="1:9" ht="15.6" customHeight="1" x14ac:dyDescent="0.2">
      <c r="B5" s="60"/>
      <c r="C5" s="60" t="s">
        <v>98</v>
      </c>
      <c r="D5" s="60" t="s">
        <v>99</v>
      </c>
      <c r="E5" s="60" t="s">
        <v>100</v>
      </c>
      <c r="F5" s="60"/>
    </row>
    <row r="6" spans="1:9" ht="15.6" customHeight="1" x14ac:dyDescent="0.25">
      <c r="A6" s="61" t="s">
        <v>80</v>
      </c>
      <c r="B6" s="62" t="s">
        <v>101</v>
      </c>
      <c r="C6" s="62" t="s">
        <v>102</v>
      </c>
      <c r="D6" s="62" t="s">
        <v>103</v>
      </c>
      <c r="E6" s="62" t="s">
        <v>104</v>
      </c>
      <c r="F6" s="62" t="s">
        <v>105</v>
      </c>
      <c r="G6" s="73" t="s">
        <v>79</v>
      </c>
      <c r="H6" s="73" t="s">
        <v>79</v>
      </c>
      <c r="I6" s="77" t="s">
        <v>139</v>
      </c>
    </row>
    <row r="7" spans="1:9" ht="9.9499999999999993" customHeight="1" x14ac:dyDescent="0.2"/>
    <row r="8" spans="1:9" ht="15.75" x14ac:dyDescent="0.25">
      <c r="A8" s="63" t="s">
        <v>106</v>
      </c>
    </row>
    <row r="9" spans="1:9" ht="3.95" customHeight="1" x14ac:dyDescent="0.2">
      <c r="A9" s="64"/>
      <c r="B9" s="65"/>
      <c r="C9" s="65"/>
      <c r="D9" s="65"/>
      <c r="E9" s="65"/>
      <c r="F9" s="65"/>
    </row>
    <row r="10" spans="1:9" ht="15.6" customHeight="1" x14ac:dyDescent="0.25">
      <c r="A10" s="66" t="s">
        <v>107</v>
      </c>
      <c r="B10" s="67">
        <v>7646789</v>
      </c>
      <c r="C10" s="67">
        <f>45+42636+383</f>
        <v>43064</v>
      </c>
      <c r="D10" s="67">
        <f>1141+225461+416</f>
        <v>227018</v>
      </c>
      <c r="E10" s="67">
        <v>1037481</v>
      </c>
      <c r="F10" s="67">
        <f>SUM(B10:E10)</f>
        <v>8954352</v>
      </c>
      <c r="G10" s="4">
        <v>2216876</v>
      </c>
      <c r="H10" s="4"/>
      <c r="I10" s="4">
        <f>SUM(F10:H10)</f>
        <v>11171228</v>
      </c>
    </row>
    <row r="11" spans="1:9" ht="15.6" customHeight="1" x14ac:dyDescent="0.25">
      <c r="A11" s="66" t="s">
        <v>108</v>
      </c>
      <c r="B11" s="65">
        <v>0</v>
      </c>
      <c r="C11" s="65">
        <f>3437607+18458</f>
        <v>3456065</v>
      </c>
      <c r="D11" s="65">
        <f>1250011+6712</f>
        <v>1256723</v>
      </c>
      <c r="E11" s="65">
        <v>0</v>
      </c>
      <c r="F11" s="65">
        <f>SUM(B11:E11)</f>
        <v>4712788</v>
      </c>
      <c r="G11" s="4"/>
      <c r="H11" s="4"/>
      <c r="I11" s="4">
        <f t="shared" ref="I11:I19" si="0">SUM(F11:H11)</f>
        <v>4712788</v>
      </c>
    </row>
    <row r="12" spans="1:9" ht="15.6" customHeight="1" x14ac:dyDescent="0.25">
      <c r="A12" s="66" t="s">
        <v>109</v>
      </c>
      <c r="B12" s="65">
        <v>52099</v>
      </c>
      <c r="C12" s="65">
        <v>0</v>
      </c>
      <c r="D12" s="65">
        <v>0</v>
      </c>
      <c r="E12" s="65">
        <v>82948</v>
      </c>
      <c r="F12" s="65">
        <f t="shared" ref="F12:F19" si="1">SUM(B12:E12)</f>
        <v>135047</v>
      </c>
      <c r="G12" s="4"/>
      <c r="H12" s="4"/>
      <c r="I12" s="4">
        <f t="shared" si="0"/>
        <v>135047</v>
      </c>
    </row>
    <row r="13" spans="1:9" ht="15.6" customHeight="1" x14ac:dyDescent="0.25">
      <c r="A13" s="66" t="s">
        <v>110</v>
      </c>
      <c r="B13" s="65">
        <v>60858</v>
      </c>
      <c r="C13" s="65">
        <v>0</v>
      </c>
      <c r="D13" s="65">
        <v>0</v>
      </c>
      <c r="E13" s="65">
        <v>0</v>
      </c>
      <c r="F13" s="65">
        <f t="shared" si="1"/>
        <v>60858</v>
      </c>
      <c r="G13" s="4"/>
      <c r="H13" s="4"/>
      <c r="I13" s="4">
        <f t="shared" si="0"/>
        <v>60858</v>
      </c>
    </row>
    <row r="14" spans="1:9" ht="15.6" customHeight="1" x14ac:dyDescent="0.25">
      <c r="A14" s="66" t="s">
        <v>111</v>
      </c>
      <c r="B14" s="65">
        <v>65203</v>
      </c>
      <c r="C14" s="65">
        <v>0</v>
      </c>
      <c r="D14" s="65">
        <v>0</v>
      </c>
      <c r="E14" s="65">
        <v>1815</v>
      </c>
      <c r="F14" s="65">
        <f t="shared" si="1"/>
        <v>67018</v>
      </c>
      <c r="G14" s="4">
        <v>-67018</v>
      </c>
      <c r="H14" s="4"/>
      <c r="I14" s="4">
        <f t="shared" si="0"/>
        <v>0</v>
      </c>
    </row>
    <row r="15" spans="1:9" ht="15.6" customHeight="1" x14ac:dyDescent="0.25">
      <c r="A15" s="66" t="s">
        <v>112</v>
      </c>
      <c r="B15" s="65">
        <v>5761596</v>
      </c>
      <c r="C15" s="65">
        <v>0</v>
      </c>
      <c r="D15" s="65">
        <v>0</v>
      </c>
      <c r="E15" s="65">
        <v>23597</v>
      </c>
      <c r="F15" s="65">
        <f t="shared" si="1"/>
        <v>5785193</v>
      </c>
      <c r="G15" s="4"/>
      <c r="H15" s="4"/>
      <c r="I15" s="4">
        <f t="shared" si="0"/>
        <v>5785193</v>
      </c>
    </row>
    <row r="16" spans="1:9" ht="15.6" customHeight="1" x14ac:dyDescent="0.25">
      <c r="A16" s="66" t="s">
        <v>113</v>
      </c>
      <c r="B16" s="65">
        <v>59851</v>
      </c>
      <c r="C16" s="65">
        <v>0</v>
      </c>
      <c r="D16" s="65">
        <v>0</v>
      </c>
      <c r="E16" s="65">
        <v>22330</v>
      </c>
      <c r="F16" s="65">
        <f t="shared" si="1"/>
        <v>82181</v>
      </c>
      <c r="G16" s="4"/>
      <c r="H16" s="4"/>
      <c r="I16" s="4">
        <f t="shared" si="0"/>
        <v>82181</v>
      </c>
    </row>
    <row r="17" spans="1:9" ht="15.6" customHeight="1" x14ac:dyDescent="0.25">
      <c r="A17" s="66" t="s">
        <v>114</v>
      </c>
      <c r="B17" s="65">
        <v>576089</v>
      </c>
      <c r="C17" s="65"/>
      <c r="D17" s="65"/>
      <c r="E17" s="65">
        <v>14790</v>
      </c>
      <c r="F17" s="65">
        <f t="shared" si="1"/>
        <v>590879</v>
      </c>
      <c r="G17" s="4"/>
      <c r="H17" s="4"/>
      <c r="I17" s="4">
        <f t="shared" si="0"/>
        <v>590879</v>
      </c>
    </row>
    <row r="18" spans="1:9" ht="15.6" customHeight="1" x14ac:dyDescent="0.25">
      <c r="A18" s="66" t="s">
        <v>137</v>
      </c>
      <c r="B18" s="65"/>
      <c r="C18" s="65"/>
      <c r="D18" s="65"/>
      <c r="E18" s="65"/>
      <c r="F18" s="65"/>
      <c r="G18" s="4">
        <f>242604+131897</f>
        <v>374501</v>
      </c>
      <c r="H18" s="4">
        <v>-131897</v>
      </c>
      <c r="I18" s="4">
        <f t="shared" si="0"/>
        <v>242604</v>
      </c>
    </row>
    <row r="19" spans="1:9" ht="15.6" customHeight="1" x14ac:dyDescent="0.25">
      <c r="A19" s="68" t="s">
        <v>138</v>
      </c>
      <c r="B19" s="69">
        <v>0</v>
      </c>
      <c r="C19" s="69">
        <v>0</v>
      </c>
      <c r="D19" s="69">
        <v>0</v>
      </c>
      <c r="E19" s="69">
        <v>0</v>
      </c>
      <c r="F19" s="69">
        <f t="shared" si="1"/>
        <v>0</v>
      </c>
      <c r="G19" s="5">
        <v>68914203</v>
      </c>
      <c r="H19" s="5"/>
      <c r="I19" s="5">
        <f t="shared" si="0"/>
        <v>68914203</v>
      </c>
    </row>
    <row r="20" spans="1:9" ht="9.9499999999999993" customHeight="1" x14ac:dyDescent="0.2">
      <c r="A20" s="64"/>
      <c r="B20" s="65"/>
      <c r="C20" s="65"/>
      <c r="D20" s="65"/>
      <c r="E20" s="65"/>
      <c r="F20" s="65"/>
      <c r="G20" s="4"/>
      <c r="H20" s="4"/>
      <c r="I20" s="4"/>
    </row>
    <row r="21" spans="1:9" ht="16.5" thickBot="1" x14ac:dyDescent="0.3">
      <c r="A21" s="70" t="s">
        <v>115</v>
      </c>
      <c r="B21" s="71">
        <f>SUM(B10:B20)</f>
        <v>14222485</v>
      </c>
      <c r="C21" s="71">
        <f>SUM(C10:C20)</f>
        <v>3499129</v>
      </c>
      <c r="D21" s="71">
        <f>SUM(D10:D20)</f>
        <v>1483741</v>
      </c>
      <c r="E21" s="71">
        <f>SUM(E10:E20)</f>
        <v>1182961</v>
      </c>
      <c r="F21" s="71">
        <f>SUM(B21:E21)</f>
        <v>20388316</v>
      </c>
      <c r="G21" s="74">
        <f>SUM(G10:G19)</f>
        <v>71438562</v>
      </c>
      <c r="H21" s="74">
        <f>SUM(H10:H19)</f>
        <v>-131897</v>
      </c>
      <c r="I21" s="74">
        <f>SUM(F21:H21)</f>
        <v>91694981</v>
      </c>
    </row>
    <row r="22" spans="1:9" ht="13.5" thickTop="1" x14ac:dyDescent="0.2">
      <c r="A22" s="64"/>
      <c r="B22" s="65"/>
      <c r="C22" s="65"/>
      <c r="D22" s="65"/>
      <c r="E22" s="65"/>
      <c r="F22" s="65"/>
      <c r="G22" s="4"/>
      <c r="H22" s="4"/>
      <c r="I22" s="4"/>
    </row>
    <row r="23" spans="1:9" ht="15.75" x14ac:dyDescent="0.25">
      <c r="A23" s="63" t="s">
        <v>116</v>
      </c>
      <c r="B23" s="65"/>
      <c r="C23" s="65"/>
      <c r="D23" s="65"/>
      <c r="E23" s="65"/>
      <c r="F23" s="65"/>
      <c r="G23" s="4"/>
      <c r="H23" s="4"/>
      <c r="I23" s="4"/>
    </row>
    <row r="24" spans="1:9" ht="5.0999999999999996" customHeight="1" x14ac:dyDescent="0.2">
      <c r="A24" s="64"/>
      <c r="B24" s="65"/>
      <c r="C24" s="65"/>
      <c r="D24" s="65"/>
      <c r="E24" s="65"/>
      <c r="F24" s="65"/>
      <c r="G24" s="4"/>
      <c r="H24" s="4"/>
      <c r="I24" s="4"/>
    </row>
    <row r="25" spans="1:9" ht="15.75" x14ac:dyDescent="0.25">
      <c r="A25" s="63" t="s">
        <v>117</v>
      </c>
      <c r="B25" s="65"/>
      <c r="C25" s="65"/>
      <c r="D25" s="65"/>
      <c r="E25" s="65"/>
      <c r="F25" s="65"/>
      <c r="G25" s="4"/>
      <c r="H25" s="4"/>
      <c r="I25" s="4"/>
    </row>
    <row r="26" spans="1:9" ht="3.95" customHeight="1" x14ac:dyDescent="0.2">
      <c r="A26" s="64"/>
      <c r="B26" s="65"/>
      <c r="C26" s="65"/>
      <c r="D26" s="65"/>
      <c r="E26" s="65"/>
      <c r="F26" s="65"/>
      <c r="G26" s="4"/>
      <c r="H26" s="4"/>
      <c r="I26" s="4"/>
    </row>
    <row r="27" spans="1:9" ht="15.6" customHeight="1" x14ac:dyDescent="0.25">
      <c r="A27" s="66" t="s">
        <v>118</v>
      </c>
      <c r="B27" s="67">
        <v>0</v>
      </c>
      <c r="C27" s="67">
        <v>0</v>
      </c>
      <c r="D27" s="67">
        <v>0</v>
      </c>
      <c r="E27" s="67">
        <v>30964</v>
      </c>
      <c r="F27" s="67">
        <f>SUM(B27:E27)</f>
        <v>30964</v>
      </c>
      <c r="G27" s="4"/>
      <c r="H27" s="4"/>
      <c r="I27" s="4">
        <f>SUM(F27:H27)</f>
        <v>30964</v>
      </c>
    </row>
    <row r="28" spans="1:9" ht="15.6" customHeight="1" x14ac:dyDescent="0.25">
      <c r="A28" s="66" t="s">
        <v>119</v>
      </c>
      <c r="B28" s="4">
        <v>1791239</v>
      </c>
      <c r="C28" s="4">
        <v>1150296</v>
      </c>
      <c r="D28" s="4">
        <v>144989</v>
      </c>
      <c r="E28" s="4">
        <v>60901</v>
      </c>
      <c r="F28" s="65">
        <f>SUM(B28:E28)</f>
        <v>3147425</v>
      </c>
      <c r="G28" s="4"/>
      <c r="H28" s="4"/>
      <c r="I28" s="4">
        <f>SUM(F28:H28)</f>
        <v>3147425</v>
      </c>
    </row>
    <row r="29" spans="1:9" ht="15.6" customHeight="1" x14ac:dyDescent="0.25">
      <c r="A29" s="66" t="s">
        <v>120</v>
      </c>
      <c r="B29" s="65">
        <v>4251312</v>
      </c>
      <c r="C29" s="65">
        <v>0</v>
      </c>
      <c r="D29" s="65">
        <v>0</v>
      </c>
      <c r="E29" s="65">
        <v>11093</v>
      </c>
      <c r="F29" s="65">
        <f>SUM(B29:E29)</f>
        <v>4262405</v>
      </c>
      <c r="G29" s="4"/>
      <c r="H29" s="4"/>
      <c r="I29" s="4">
        <f>SUM(F29:H29)</f>
        <v>4262405</v>
      </c>
    </row>
    <row r="30" spans="1:9" ht="15.6" customHeight="1" x14ac:dyDescent="0.25">
      <c r="A30" s="66" t="s">
        <v>132</v>
      </c>
      <c r="B30" s="65"/>
      <c r="C30" s="65"/>
      <c r="D30" s="65"/>
      <c r="E30" s="65"/>
      <c r="F30" s="65"/>
      <c r="G30" s="4">
        <v>309204</v>
      </c>
      <c r="H30" s="4"/>
      <c r="I30" s="4">
        <f>SUM(F30:H30)</f>
        <v>309204</v>
      </c>
    </row>
    <row r="31" spans="1:9" ht="15.6" customHeight="1" x14ac:dyDescent="0.25">
      <c r="A31" s="66" t="s">
        <v>121</v>
      </c>
      <c r="B31" s="65">
        <v>1815</v>
      </c>
      <c r="C31" s="65">
        <v>25848</v>
      </c>
      <c r="D31" s="65">
        <v>0</v>
      </c>
      <c r="E31" s="65">
        <v>39355</v>
      </c>
      <c r="F31" s="65">
        <f>SUM(B31:E31)</f>
        <v>67018</v>
      </c>
      <c r="G31" s="4">
        <v>-67018</v>
      </c>
      <c r="H31" s="4"/>
      <c r="I31" s="4">
        <f>SUM(F31:H31)</f>
        <v>0</v>
      </c>
    </row>
    <row r="32" spans="1:9" ht="15.6" customHeight="1" x14ac:dyDescent="0.25">
      <c r="A32" s="75" t="s">
        <v>122</v>
      </c>
      <c r="B32" s="76">
        <v>196763</v>
      </c>
      <c r="C32" s="76">
        <v>0</v>
      </c>
      <c r="D32" s="76">
        <v>0</v>
      </c>
      <c r="E32" s="76">
        <v>52773</v>
      </c>
      <c r="F32" s="76">
        <f>SUM(B32:E32)</f>
        <v>249536</v>
      </c>
      <c r="G32" s="9"/>
      <c r="H32" s="9"/>
      <c r="I32" s="9">
        <f t="shared" ref="I32:I37" si="2">SUM(F32:H32)</f>
        <v>249536</v>
      </c>
    </row>
    <row r="33" spans="1:9" ht="15.6" customHeight="1" x14ac:dyDescent="0.25">
      <c r="A33" s="75" t="s">
        <v>133</v>
      </c>
      <c r="B33" s="76"/>
      <c r="C33" s="76"/>
      <c r="D33" s="76"/>
      <c r="E33" s="76"/>
      <c r="F33" s="76"/>
      <c r="G33" s="9">
        <v>4555000</v>
      </c>
      <c r="H33" s="9"/>
      <c r="I33" s="9">
        <f t="shared" si="2"/>
        <v>4555000</v>
      </c>
    </row>
    <row r="34" spans="1:9" ht="15.6" customHeight="1" x14ac:dyDescent="0.25">
      <c r="A34" s="75" t="s">
        <v>136</v>
      </c>
      <c r="B34" s="76"/>
      <c r="C34" s="76"/>
      <c r="D34" s="76"/>
      <c r="E34" s="76"/>
      <c r="F34" s="76"/>
      <c r="G34" s="9">
        <v>842738</v>
      </c>
      <c r="H34" s="9"/>
      <c r="I34" s="9">
        <f t="shared" si="2"/>
        <v>842738</v>
      </c>
    </row>
    <row r="35" spans="1:9" ht="15.6" customHeight="1" x14ac:dyDescent="0.25">
      <c r="A35" s="75" t="s">
        <v>134</v>
      </c>
      <c r="B35" s="76"/>
      <c r="C35" s="76"/>
      <c r="D35" s="76"/>
      <c r="E35" s="76"/>
      <c r="F35" s="76"/>
      <c r="G35" s="9">
        <v>45395000</v>
      </c>
      <c r="H35" s="9"/>
      <c r="I35" s="9">
        <f t="shared" si="2"/>
        <v>45395000</v>
      </c>
    </row>
    <row r="36" spans="1:9" ht="15.6" customHeight="1" x14ac:dyDescent="0.25">
      <c r="A36" s="75" t="s">
        <v>135</v>
      </c>
      <c r="B36" s="76"/>
      <c r="C36" s="76"/>
      <c r="D36" s="76"/>
      <c r="E36" s="76"/>
      <c r="F36" s="76"/>
      <c r="G36" s="9">
        <v>2081521</v>
      </c>
      <c r="H36" s="9"/>
      <c r="I36" s="9">
        <f t="shared" si="2"/>
        <v>2081521</v>
      </c>
    </row>
    <row r="37" spans="1:9" ht="15.6" customHeight="1" x14ac:dyDescent="0.25">
      <c r="A37" s="68"/>
      <c r="B37" s="69"/>
      <c r="C37" s="69"/>
      <c r="D37" s="69"/>
      <c r="E37" s="69"/>
      <c r="F37" s="69"/>
      <c r="G37" s="5"/>
      <c r="H37" s="5"/>
      <c r="I37" s="5">
        <f t="shared" si="2"/>
        <v>0</v>
      </c>
    </row>
    <row r="38" spans="1:9" ht="8.1" customHeight="1" x14ac:dyDescent="0.2">
      <c r="A38" s="64"/>
      <c r="B38" s="65"/>
      <c r="C38" s="65"/>
      <c r="D38" s="65"/>
      <c r="E38" s="65"/>
      <c r="F38" s="65"/>
      <c r="G38" s="4"/>
      <c r="H38" s="4"/>
      <c r="I38" s="4"/>
    </row>
    <row r="39" spans="1:9" ht="15.75" x14ac:dyDescent="0.25">
      <c r="A39" s="66" t="s">
        <v>123</v>
      </c>
      <c r="B39" s="65">
        <f>SUM(B27:B38)</f>
        <v>6241129</v>
      </c>
      <c r="C39" s="65">
        <f>SUM(C27:C38)</f>
        <v>1176144</v>
      </c>
      <c r="D39" s="65">
        <f>SUM(D27:D38)</f>
        <v>144989</v>
      </c>
      <c r="E39" s="65">
        <f>SUM(E27:E38)</f>
        <v>195086</v>
      </c>
      <c r="F39" s="65">
        <f>SUM(B39:E39)</f>
        <v>7757348</v>
      </c>
      <c r="G39" s="4">
        <f>SUM(G27:G37)</f>
        <v>53116445</v>
      </c>
      <c r="H39" s="4"/>
      <c r="I39" s="4">
        <f>SUM(F39:H39)</f>
        <v>60873793</v>
      </c>
    </row>
    <row r="40" spans="1:9" ht="9.9499999999999993" customHeight="1" x14ac:dyDescent="0.2">
      <c r="A40" s="64"/>
      <c r="B40" s="65"/>
      <c r="C40" s="65"/>
      <c r="D40" s="65"/>
      <c r="E40" s="65"/>
      <c r="F40" s="65"/>
      <c r="G40" s="4"/>
      <c r="H40" s="4"/>
      <c r="I40" s="4"/>
    </row>
    <row r="41" spans="1:9" ht="15.75" x14ac:dyDescent="0.25">
      <c r="A41" s="63" t="s">
        <v>124</v>
      </c>
      <c r="B41" s="65"/>
      <c r="C41" s="65"/>
      <c r="D41" s="65"/>
      <c r="E41" s="65"/>
      <c r="F41" s="65"/>
      <c r="G41" s="4"/>
      <c r="H41" s="4"/>
      <c r="I41" s="4"/>
    </row>
    <row r="42" spans="1:9" ht="3.95" customHeight="1" x14ac:dyDescent="0.2">
      <c r="A42" s="64"/>
      <c r="B42" s="65"/>
      <c r="C42" s="65"/>
      <c r="D42" s="65"/>
      <c r="E42" s="65"/>
      <c r="F42" s="65"/>
      <c r="G42" s="4"/>
      <c r="H42" s="4"/>
      <c r="I42" s="4"/>
    </row>
    <row r="43" spans="1:9" ht="15.75" x14ac:dyDescent="0.25">
      <c r="A43" s="66" t="s">
        <v>125</v>
      </c>
      <c r="B43" s="65">
        <v>295256</v>
      </c>
      <c r="C43" s="65">
        <v>0</v>
      </c>
      <c r="D43" s="65">
        <v>0</v>
      </c>
      <c r="E43" s="65">
        <v>0</v>
      </c>
      <c r="F43" s="65">
        <f>SUM(B43:E43)</f>
        <v>295256</v>
      </c>
      <c r="G43" s="4"/>
      <c r="H43" s="4"/>
      <c r="I43" s="4"/>
    </row>
    <row r="44" spans="1:9" ht="15.75" x14ac:dyDescent="0.25">
      <c r="A44" s="66" t="s">
        <v>126</v>
      </c>
      <c r="B44" s="65">
        <v>0</v>
      </c>
      <c r="C44" s="65">
        <v>0</v>
      </c>
      <c r="D44" s="65">
        <v>0</v>
      </c>
      <c r="E44" s="65">
        <v>715949</v>
      </c>
      <c r="F44" s="65">
        <f>SUM(B44:E44)</f>
        <v>715949</v>
      </c>
      <c r="G44" s="4"/>
      <c r="H44" s="4"/>
      <c r="I44" s="4"/>
    </row>
    <row r="45" spans="1:9" ht="15.75" x14ac:dyDescent="0.25">
      <c r="A45" s="66" t="s">
        <v>127</v>
      </c>
      <c r="B45" s="65">
        <v>0</v>
      </c>
      <c r="C45" s="65">
        <f>3499129-1176144</f>
        <v>2322985</v>
      </c>
      <c r="D45" s="65">
        <f>1483741-144989</f>
        <v>1338752</v>
      </c>
      <c r="E45" s="65">
        <v>0</v>
      </c>
      <c r="F45" s="65">
        <f>SUM(B45:E45)</f>
        <v>3661737</v>
      </c>
      <c r="G45" s="4"/>
      <c r="H45" s="4"/>
      <c r="I45" s="4"/>
    </row>
    <row r="46" spans="1:9" ht="15.75" x14ac:dyDescent="0.25">
      <c r="A46" s="66" t="s">
        <v>128</v>
      </c>
      <c r="B46" s="65">
        <v>65656</v>
      </c>
      <c r="C46" s="65">
        <v>0</v>
      </c>
      <c r="D46" s="65">
        <v>0</v>
      </c>
      <c r="E46" s="65">
        <v>0</v>
      </c>
      <c r="F46" s="65">
        <f>SUM(B46:E46)</f>
        <v>65656</v>
      </c>
      <c r="G46" s="4"/>
      <c r="H46" s="4"/>
      <c r="I46" s="4"/>
    </row>
    <row r="47" spans="1:9" ht="15.75" x14ac:dyDescent="0.25">
      <c r="A47" s="68" t="s">
        <v>129</v>
      </c>
      <c r="B47" s="69">
        <v>7620444</v>
      </c>
      <c r="C47" s="69">
        <v>0</v>
      </c>
      <c r="D47" s="69">
        <v>0</v>
      </c>
      <c r="E47" s="69">
        <v>271926</v>
      </c>
      <c r="F47" s="69">
        <f>SUM(B47:E47)</f>
        <v>7892370</v>
      </c>
      <c r="G47" s="5">
        <v>-12630968</v>
      </c>
      <c r="H47" s="5">
        <v>30821188</v>
      </c>
      <c r="I47" s="5"/>
    </row>
    <row r="48" spans="1:9" ht="5.0999999999999996" customHeight="1" x14ac:dyDescent="0.2">
      <c r="A48" s="72"/>
      <c r="B48" s="65"/>
      <c r="C48" s="65"/>
      <c r="D48" s="65"/>
      <c r="E48" s="65"/>
      <c r="F48" s="65"/>
      <c r="G48" s="4"/>
      <c r="H48" s="4"/>
      <c r="I48" s="4">
        <f>SUM(F48:H48)</f>
        <v>0</v>
      </c>
    </row>
    <row r="49" spans="1:9" ht="15.75" x14ac:dyDescent="0.25">
      <c r="A49" s="68" t="s">
        <v>130</v>
      </c>
      <c r="B49" s="69">
        <f>SUM(B43:B48)</f>
        <v>7981356</v>
      </c>
      <c r="C49" s="69">
        <f>SUM(C43:C48)</f>
        <v>2322985</v>
      </c>
      <c r="D49" s="69">
        <f>SUM(D43:D48)</f>
        <v>1338752</v>
      </c>
      <c r="E49" s="69">
        <f>SUM(E43:E48)</f>
        <v>987875</v>
      </c>
      <c r="F49" s="69">
        <f>SUM(B49:E49)</f>
        <v>12630968</v>
      </c>
      <c r="G49" s="5">
        <f>SUM(G43:G47)</f>
        <v>-12630968</v>
      </c>
      <c r="H49" s="5">
        <f>SUM(H43:H47)</f>
        <v>30821188</v>
      </c>
      <c r="I49" s="5">
        <f>+I21-I39</f>
        <v>30821188</v>
      </c>
    </row>
    <row r="50" spans="1:9" ht="9.9499999999999993" customHeight="1" x14ac:dyDescent="0.2">
      <c r="A50" s="64"/>
      <c r="B50" s="65"/>
      <c r="C50" s="65"/>
      <c r="D50" s="65"/>
      <c r="E50" s="65"/>
      <c r="F50" s="65"/>
      <c r="G50" s="4"/>
      <c r="H50" s="4"/>
      <c r="I50" s="4"/>
    </row>
    <row r="51" spans="1:9" ht="16.5" thickBot="1" x14ac:dyDescent="0.3">
      <c r="A51" s="70" t="s">
        <v>131</v>
      </c>
      <c r="B51" s="71">
        <f>B39+B49</f>
        <v>14222485</v>
      </c>
      <c r="C51" s="71">
        <f>C39+C49</f>
        <v>3499129</v>
      </c>
      <c r="D51" s="71">
        <f>D39+D49</f>
        <v>1483741</v>
      </c>
      <c r="E51" s="71">
        <f>E39+E49</f>
        <v>1182961</v>
      </c>
      <c r="F51" s="71">
        <f>SUM(B51:E51)</f>
        <v>20388316</v>
      </c>
      <c r="G51" s="71">
        <f>+G39+G49</f>
        <v>40485477</v>
      </c>
      <c r="H51" s="71">
        <f>+H39+H49</f>
        <v>30821188</v>
      </c>
      <c r="I51" s="71">
        <f>+I39+I49</f>
        <v>91694981</v>
      </c>
    </row>
    <row r="52" spans="1:9" ht="5.0999999999999996" customHeight="1" thickTop="1" x14ac:dyDescent="0.2"/>
    <row r="53" spans="1:9" ht="15.6" customHeight="1" x14ac:dyDescent="0.25">
      <c r="A53" s="81"/>
      <c r="B53" s="81"/>
      <c r="C53" s="81"/>
      <c r="D53" s="81"/>
      <c r="E53" s="81"/>
      <c r="F53" s="81"/>
      <c r="G53" s="81"/>
    </row>
  </sheetData>
  <mergeCells count="1">
    <mergeCell ref="A53:G5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 for St of Act</vt:lpstr>
      <vt:lpstr>Expenses</vt:lpstr>
      <vt:lpstr>Sheet1</vt:lpstr>
      <vt:lpstr>'Rev for St of Act'!Print_Area</vt:lpstr>
    </vt:vector>
  </TitlesOfParts>
  <Company>Grand Haven Area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 Haven Area Public Schools</dc:creator>
  <cp:lastModifiedBy>Pat Korloch</cp:lastModifiedBy>
  <cp:lastPrinted>2007-08-23T17:11:59Z</cp:lastPrinted>
  <dcterms:created xsi:type="dcterms:W3CDTF">2003-08-20T14:13:07Z</dcterms:created>
  <dcterms:modified xsi:type="dcterms:W3CDTF">2014-07-31T14:37:12Z</dcterms:modified>
</cp:coreProperties>
</file>