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45" windowHeight="5835" activeTab="0"/>
  </bookViews>
  <sheets>
    <sheet name="Balance Sheet" sheetId="1" r:id="rId1"/>
    <sheet name="GF Revenue" sheetId="2" r:id="rId2"/>
    <sheet name="SPED Revenue" sheetId="3" r:id="rId3"/>
    <sheet name="GF Expend" sheetId="4" r:id="rId4"/>
    <sheet name="SE Expend" sheetId="5" r:id="rId5"/>
    <sheet name="Food Serv" sheetId="6" r:id="rId6"/>
    <sheet name="Debt" sheetId="7" r:id="rId7"/>
    <sheet name="Admin Out" sheetId="8" r:id="rId8"/>
    <sheet name="Graphs" sheetId="9" r:id="rId9"/>
  </sheets>
  <definedNames>
    <definedName name="_xlnm.Print_Area" localSheetId="3">'GF Expend'!$B$1:$I$36</definedName>
    <definedName name="_xlnm.Print_Area" localSheetId="8">'Graphs'!$A$55:$P$97</definedName>
    <definedName name="_xlnm.Print_Area" localSheetId="4">'SE Expend'!$B$1:$I$35</definedName>
  </definedNames>
  <calcPr fullCalcOnLoad="1"/>
</workbook>
</file>

<file path=xl/sharedStrings.xml><?xml version="1.0" encoding="utf-8"?>
<sst xmlns="http://schemas.openxmlformats.org/spreadsheetml/2006/main" count="304" uniqueCount="199">
  <si>
    <t>Cash &amp; Investments</t>
  </si>
  <si>
    <t>Accounts Receivable</t>
  </si>
  <si>
    <t>Due from Other Gov't Units</t>
  </si>
  <si>
    <t>Prepaid Expenditures</t>
  </si>
  <si>
    <t>Total Assets</t>
  </si>
  <si>
    <t>Accounts Payable</t>
  </si>
  <si>
    <t>Due to Other Funds</t>
  </si>
  <si>
    <t>Payroll Deductions</t>
  </si>
  <si>
    <t>Deferred Revenue</t>
  </si>
  <si>
    <t>Total Liabilities</t>
  </si>
  <si>
    <t>Liabilities:</t>
  </si>
  <si>
    <t>Fund Equity:</t>
  </si>
  <si>
    <t>Beginning Fund Balance</t>
  </si>
  <si>
    <t>YTD Revenues</t>
  </si>
  <si>
    <t>YTD Expenditures</t>
  </si>
  <si>
    <t>Fund Equity</t>
  </si>
  <si>
    <t>Total Liabilities &amp; Fund Equity</t>
  </si>
  <si>
    <t>General</t>
  </si>
  <si>
    <t>Fund</t>
  </si>
  <si>
    <t>Special Ed</t>
  </si>
  <si>
    <t>Due from Other Funds</t>
  </si>
  <si>
    <t>Due to Other Gov't Units</t>
  </si>
  <si>
    <t xml:space="preserve">Food </t>
  </si>
  <si>
    <t>Service</t>
  </si>
  <si>
    <t>Inventory</t>
  </si>
  <si>
    <t>Building</t>
  </si>
  <si>
    <t>Loan</t>
  </si>
  <si>
    <t>Admin</t>
  </si>
  <si>
    <t>Outreach</t>
  </si>
  <si>
    <t>Revenues:</t>
  </si>
  <si>
    <t>Property Taxes</t>
  </si>
  <si>
    <t>Local:</t>
  </si>
  <si>
    <t>Investment Earnings</t>
  </si>
  <si>
    <t>Other</t>
  </si>
  <si>
    <t>State:</t>
  </si>
  <si>
    <t>State Aid</t>
  </si>
  <si>
    <t>Durant</t>
  </si>
  <si>
    <t>Great Parents</t>
  </si>
  <si>
    <t>Vocational Education</t>
  </si>
  <si>
    <t>Federal:</t>
  </si>
  <si>
    <t>21st Century Grant</t>
  </si>
  <si>
    <t>USF Funds</t>
  </si>
  <si>
    <t>Perkins</t>
  </si>
  <si>
    <t>Title V</t>
  </si>
  <si>
    <t>Tech Prep</t>
  </si>
  <si>
    <t>Transfers In &amp; Other</t>
  </si>
  <si>
    <t>CTE Tuition</t>
  </si>
  <si>
    <t>REMC Membership</t>
  </si>
  <si>
    <t>Technology Fees</t>
  </si>
  <si>
    <t>Personnel Services</t>
  </si>
  <si>
    <t>Indirect Cost Reim.</t>
  </si>
  <si>
    <t>Medicaid Fee for Services</t>
  </si>
  <si>
    <t>Total Revenues</t>
  </si>
  <si>
    <t>Expenditures:</t>
  </si>
  <si>
    <t>Operations &amp; Maintenance</t>
  </si>
  <si>
    <t>Pupil Accounting</t>
  </si>
  <si>
    <t>Total Expenditures</t>
  </si>
  <si>
    <t>Budget</t>
  </si>
  <si>
    <t>Actual</t>
  </si>
  <si>
    <t>Sale of Internet Services</t>
  </si>
  <si>
    <t>Title II</t>
  </si>
  <si>
    <t>n/a</t>
  </si>
  <si>
    <t>I.D.E.A C/O</t>
  </si>
  <si>
    <t>I.D.E.A.</t>
  </si>
  <si>
    <t>Enhancing Opportunities</t>
  </si>
  <si>
    <t>Early On</t>
  </si>
  <si>
    <t>R.E.A.P. Grant</t>
  </si>
  <si>
    <t>Early On C/O</t>
  </si>
  <si>
    <t>Transition Grant</t>
  </si>
  <si>
    <t>Transfers from LEAs</t>
  </si>
  <si>
    <t>Program:</t>
  </si>
  <si>
    <t>Technology</t>
  </si>
  <si>
    <t>Instructional Services</t>
  </si>
  <si>
    <t>Great Parents, Great Start</t>
  </si>
  <si>
    <t>Advanced &amp; Accelerated</t>
  </si>
  <si>
    <t>REMC Essential Services</t>
  </si>
  <si>
    <t>Shared Time Programs</t>
  </si>
  <si>
    <t>Transfers Out:</t>
  </si>
  <si>
    <t>Total Expenditures &amp; Transfers Out</t>
  </si>
  <si>
    <t>%age</t>
  </si>
  <si>
    <t>Psychologist</t>
  </si>
  <si>
    <t>Speech</t>
  </si>
  <si>
    <t>Social Worker</t>
  </si>
  <si>
    <t>PrePrimary Impaired</t>
  </si>
  <si>
    <t>Occupational Therapist</t>
  </si>
  <si>
    <t>TC Visually Impaired</t>
  </si>
  <si>
    <t>TC POHI</t>
  </si>
  <si>
    <t>Medicaid Fee for Services - RESD</t>
  </si>
  <si>
    <t>Medicaid Fee for Services - LEAs</t>
  </si>
  <si>
    <t>Food Service Fund</t>
  </si>
  <si>
    <t>Student Lunches</t>
  </si>
  <si>
    <t>Adult Sales</t>
  </si>
  <si>
    <t>State Lunch Reimbursement</t>
  </si>
  <si>
    <t>Federal Lunch Reimbursement</t>
  </si>
  <si>
    <t>Other Revenue</t>
  </si>
  <si>
    <t>Federal Commodities</t>
  </si>
  <si>
    <t>Cook wages</t>
  </si>
  <si>
    <t>Student Wages</t>
  </si>
  <si>
    <t>Substitutes wages</t>
  </si>
  <si>
    <t>Employee Insurance</t>
  </si>
  <si>
    <t>Retirement</t>
  </si>
  <si>
    <t>Social Security</t>
  </si>
  <si>
    <t>Workers' Comp Insurance</t>
  </si>
  <si>
    <t>Cash Option</t>
  </si>
  <si>
    <t>Audit</t>
  </si>
  <si>
    <t>Travel</t>
  </si>
  <si>
    <t>Conferences</t>
  </si>
  <si>
    <t>Advertising</t>
  </si>
  <si>
    <t>Food Purchases</t>
  </si>
  <si>
    <t>A-la-Carte Food Purchases</t>
  </si>
  <si>
    <t>Non-Food Purchases</t>
  </si>
  <si>
    <t>A-la-Carte Non-Food Purchases</t>
  </si>
  <si>
    <t>USDA Commodities</t>
  </si>
  <si>
    <t>Other Supplies</t>
  </si>
  <si>
    <t>Replacements under $5,000</t>
  </si>
  <si>
    <t>Miscellaneous</t>
  </si>
  <si>
    <t>Equipment Repairs</t>
  </si>
  <si>
    <t>Excess of Revenues over Expend.</t>
  </si>
  <si>
    <t>Ending Fund Balance</t>
  </si>
  <si>
    <t>Revenues and Expenditures</t>
  </si>
  <si>
    <t>Debt Retirement:</t>
  </si>
  <si>
    <t>Principal</t>
  </si>
  <si>
    <t>Interest</t>
  </si>
  <si>
    <t>Fees</t>
  </si>
  <si>
    <t>Administrative Outreach Service Rev</t>
  </si>
  <si>
    <t>Professional Services</t>
  </si>
  <si>
    <t>Transfers to Local Districts</t>
  </si>
  <si>
    <t>Due to Student Goups</t>
  </si>
  <si>
    <t>Enterpreneurship (Perkins)</t>
  </si>
  <si>
    <t>Reading First</t>
  </si>
  <si>
    <t>Business Office</t>
  </si>
  <si>
    <t>SPARKS - Beaverton</t>
  </si>
  <si>
    <t>SPARKS - Farwell</t>
  </si>
  <si>
    <t>SPARKS - Harrison</t>
  </si>
  <si>
    <t>CTE Administration</t>
  </si>
  <si>
    <t>Entrepreneurship Grant</t>
  </si>
  <si>
    <t>Health Services</t>
  </si>
  <si>
    <t>Audiologist</t>
  </si>
  <si>
    <t>TC Hearing Impaired</t>
  </si>
  <si>
    <t>Physical Education</t>
  </si>
  <si>
    <t>Vocational Education Transition</t>
  </si>
  <si>
    <t>Day School Administration</t>
  </si>
  <si>
    <t>Director's Office</t>
  </si>
  <si>
    <t>ISD Monitor</t>
  </si>
  <si>
    <t>Child Find Co-ordinator</t>
  </si>
  <si>
    <t>Compliance Personnel</t>
  </si>
  <si>
    <t>Early On Co-ordinator</t>
  </si>
  <si>
    <t>Pupil Transportation</t>
  </si>
  <si>
    <t xml:space="preserve">Moderate Cognitive Impairment </t>
  </si>
  <si>
    <t>Severe Cognitive Impaiment</t>
  </si>
  <si>
    <t>Professional Development</t>
  </si>
  <si>
    <t>PAC Services</t>
  </si>
  <si>
    <t>Preschool Sales</t>
  </si>
  <si>
    <t>Other Revenues (Expenditures)</t>
  </si>
  <si>
    <t>Transfers In:</t>
  </si>
  <si>
    <t>From General Fund</t>
  </si>
  <si>
    <t>From Capital Projects Fund</t>
  </si>
  <si>
    <t>USDA Commodity Delivery Charges</t>
  </si>
  <si>
    <t>Debt Service Fund</t>
  </si>
  <si>
    <t>Tuition &amp; Workshop Fees</t>
  </si>
  <si>
    <t>Taxes Receivable</t>
  </si>
  <si>
    <t>Transfer from General Fund</t>
  </si>
  <si>
    <t>Facility Rental/Fees</t>
  </si>
  <si>
    <t>Conf &amp; Workshop Fees</t>
  </si>
  <si>
    <t>SPARKS Enhancement</t>
  </si>
  <si>
    <t>Preschool Incentive</t>
  </si>
  <si>
    <t>Board of Education</t>
  </si>
  <si>
    <t>Supintendent's Office</t>
  </si>
  <si>
    <t>To Special Education Fund</t>
  </si>
  <si>
    <t>Balance Sheets</t>
  </si>
  <si>
    <t>General Fund Revenues</t>
  </si>
  <si>
    <t>Special Education Fund Revenues</t>
  </si>
  <si>
    <t>General Fund Expenditures</t>
  </si>
  <si>
    <t>Special Education Fund Expenditures</t>
  </si>
  <si>
    <t>Revenues &amp; Expenditures</t>
  </si>
  <si>
    <t>Salaries &amp; Benefits Payable</t>
  </si>
  <si>
    <t>Latch Key - Harrison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</si>
  <si>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</si>
  <si>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</si>
  <si>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</si>
  <si>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</si>
  <si>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</si>
  <si>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</si>
  <si>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</si>
  <si>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</si>
  <si>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</si>
  <si>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</si>
  <si>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</si>
  <si>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</si>
  <si>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2005-06</t>
  </si>
  <si>
    <t>2004-05</t>
  </si>
  <si>
    <t>SPED</t>
  </si>
  <si>
    <t>School Safety Alliance</t>
  </si>
  <si>
    <t>Summer Leadership Academy</t>
  </si>
  <si>
    <t>Other Professional Benefit Services</t>
  </si>
  <si>
    <t>Administrative Outreach</t>
  </si>
  <si>
    <t>July 1, 2005 through January 31, 2006</t>
  </si>
  <si>
    <t>Sample RESD</t>
  </si>
  <si>
    <t>ISD/RESD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</si>
</sst>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mmmm\-yy"/>
    <numFmt numFmtId="170" formatCode="\$#,##0"/>
    <numFmt numFmtId="171" formatCode="_(\$* #,##0_);_(\$* \(#,##0\);_(\$* &quot;-&quot;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.75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sz val="10.5"/>
      <color indexed="8"/>
      <name val="Arial"/>
      <family val="0"/>
    </font>
    <font>
      <sz val="12"/>
      <color indexed="8"/>
      <name val="Arial"/>
      <family val="0"/>
    </font>
    <font>
      <b/>
      <sz val="10.75"/>
      <color indexed="8"/>
      <name val="Arial"/>
      <family val="0"/>
    </font>
    <font>
      <b/>
      <sz val="12"/>
      <color indexed="8"/>
      <name val="Arial"/>
      <family val="0"/>
    </font>
    <font>
      <sz val="9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43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43" fontId="1" fillId="0" borderId="10" xfId="42" applyFont="1" applyBorder="1" applyAlignment="1">
      <alignment/>
    </xf>
    <xf numFmtId="43" fontId="1" fillId="0" borderId="11" xfId="42" applyFont="1" applyBorder="1" applyAlignment="1">
      <alignment/>
    </xf>
    <xf numFmtId="10" fontId="0" fillId="0" borderId="0" xfId="57" applyNumberFormat="1" applyFont="1" applyAlignment="1">
      <alignment/>
    </xf>
    <xf numFmtId="43" fontId="1" fillId="0" borderId="0" xfId="42" applyFont="1" applyAlignment="1">
      <alignment horizontal="center"/>
    </xf>
    <xf numFmtId="10" fontId="1" fillId="0" borderId="10" xfId="57" applyNumberFormat="1" applyFont="1" applyBorder="1" applyAlignment="1">
      <alignment/>
    </xf>
    <xf numFmtId="10" fontId="1" fillId="0" borderId="10" xfId="42" applyNumberFormat="1" applyFont="1" applyBorder="1" applyAlignment="1">
      <alignment/>
    </xf>
    <xf numFmtId="10" fontId="1" fillId="0" borderId="11" xfId="57" applyNumberFormat="1" applyFont="1" applyBorder="1" applyAlignment="1">
      <alignment/>
    </xf>
    <xf numFmtId="10" fontId="0" fillId="0" borderId="0" xfId="57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3" fontId="0" fillId="0" borderId="12" xfId="42" applyFont="1" applyBorder="1" applyAlignment="1">
      <alignment/>
    </xf>
    <xf numFmtId="43" fontId="0" fillId="0" borderId="12" xfId="42" applyFont="1" applyBorder="1" applyAlignment="1">
      <alignment/>
    </xf>
    <xf numFmtId="15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0" fontId="1" fillId="0" borderId="0" xfId="57" applyNumberFormat="1" applyFont="1" applyAlignment="1">
      <alignment/>
    </xf>
    <xf numFmtId="10" fontId="0" fillId="0" borderId="12" xfId="57" applyNumberFormat="1" applyFont="1" applyBorder="1" applyAlignment="1">
      <alignment/>
    </xf>
    <xf numFmtId="43" fontId="0" fillId="0" borderId="0" xfId="42" applyFont="1" applyBorder="1" applyAlignment="1">
      <alignment/>
    </xf>
    <xf numFmtId="10" fontId="0" fillId="0" borderId="0" xfId="57" applyNumberFormat="1" applyFont="1" applyBorder="1" applyAlignment="1">
      <alignment/>
    </xf>
    <xf numFmtId="167" fontId="0" fillId="0" borderId="0" xfId="42" applyNumberFormat="1" applyFont="1" applyAlignment="1">
      <alignment horizontal="right"/>
    </xf>
    <xf numFmtId="10" fontId="0" fillId="0" borderId="10" xfId="57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1" fillId="0" borderId="0" xfId="42" applyFont="1" applyBorder="1" applyAlignment="1">
      <alignment/>
    </xf>
    <xf numFmtId="10" fontId="1" fillId="0" borderId="0" xfId="57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11" xfId="0" applyNumberFormat="1" applyBorder="1" applyAlignment="1">
      <alignment/>
    </xf>
    <xf numFmtId="43" fontId="0" fillId="0" borderId="0" xfId="42" applyFont="1" applyAlignment="1">
      <alignment horizontal="right"/>
    </xf>
    <xf numFmtId="43" fontId="0" fillId="0" borderId="12" xfId="42" applyFont="1" applyBorder="1" applyAlignment="1">
      <alignment horizontal="right"/>
    </xf>
    <xf numFmtId="43" fontId="0" fillId="0" borderId="10" xfId="42" applyFont="1" applyBorder="1" applyAlignment="1">
      <alignment horizontal="right"/>
    </xf>
    <xf numFmtId="43" fontId="0" fillId="0" borderId="11" xfId="42" applyFont="1" applyBorder="1" applyAlignment="1">
      <alignment/>
    </xf>
    <xf numFmtId="43" fontId="0" fillId="0" borderId="0" xfId="42" applyFont="1" applyFill="1" applyBorder="1" applyAlignment="1">
      <alignment horizontal="right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0" fontId="0" fillId="0" borderId="0" xfId="0" applyAlignment="1">
      <alignment horizontal="center"/>
    </xf>
    <xf numFmtId="167" fontId="0" fillId="0" borderId="0" xfId="42" applyNumberFormat="1" applyFont="1" applyAlignment="1">
      <alignment/>
    </xf>
    <xf numFmtId="9" fontId="0" fillId="0" borderId="0" xfId="57" applyFont="1" applyAlignment="1">
      <alignment/>
    </xf>
    <xf numFmtId="167" fontId="0" fillId="0" borderId="0" xfId="0" applyNumberFormat="1" applyAlignment="1">
      <alignment/>
    </xf>
    <xf numFmtId="10" fontId="0" fillId="0" borderId="12" xfId="57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Special Education Expenditures as a %age of Budget</a:t>
            </a:r>
          </a:p>
        </c:rich>
      </c:tx>
      <c:layout>
        <c:manualLayout>
          <c:xMode val="factor"/>
          <c:yMode val="factor"/>
          <c:x val="0.00625"/>
          <c:y val="0.009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27"/>
          <c:w val="0.96"/>
          <c:h val="0.81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Graphs!$B$36</c:f>
              <c:strCache>
                <c:ptCount val="1"/>
                <c:pt idx="0">
                  <c:v>SPED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Graphs!$A$37:$A$48</c:f>
              <c:strCache/>
            </c:strRef>
          </c:cat>
          <c:val>
            <c:numRef>
              <c:f>Graphs!$B$37:$B$48</c:f>
              <c:numCache/>
            </c:numRef>
          </c:val>
          <c:shape val="box"/>
        </c:ser>
        <c:shape val="box"/>
        <c:axId val="30851351"/>
        <c:axId val="15931464"/>
      </c:bar3DChart>
      <c:catAx>
        <c:axId val="30851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31464"/>
        <c:crosses val="autoZero"/>
        <c:auto val="1"/>
        <c:lblOffset val="100"/>
        <c:tickLblSkip val="1"/>
        <c:noMultiLvlLbl val="0"/>
      </c:catAx>
      <c:valAx>
        <c:axId val="1593146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51351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CCFFFF"/>
          </a:solidFill>
        </a:ln>
      </c:spPr>
      <c:thickness val="0"/>
    </c:sideWall>
    <c:backWall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CC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General Fund Expenditures as a %age of Budget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109"/>
          <c:w val="0.97675"/>
          <c:h val="0.82175"/>
        </c:manualLayout>
      </c:layout>
      <c:bar3DChart>
        <c:barDir val="col"/>
        <c:grouping val="clustered"/>
        <c:varyColors val="0"/>
        <c:ser>
          <c:idx val="0"/>
          <c:order val="0"/>
          <c:tx>
            <c:v>General Fund Expenditures</c:v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Graphs!$A$21:$A$32</c:f>
              <c:strCache/>
            </c:strRef>
          </c:cat>
          <c:val>
            <c:numRef>
              <c:f>Graphs!$B$21:$B$32</c:f>
              <c:numCache/>
            </c:numRef>
          </c:val>
          <c:shape val="box"/>
        </c:ser>
        <c:shape val="box"/>
        <c:axId val="15380169"/>
        <c:axId val="37834138"/>
      </c:bar3DChart>
      <c:catAx>
        <c:axId val="15380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64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34138"/>
        <c:crosses val="autoZero"/>
        <c:auto val="1"/>
        <c:lblOffset val="100"/>
        <c:tickLblSkip val="1"/>
        <c:noMultiLvlLbl val="0"/>
      </c:catAx>
      <c:valAx>
        <c:axId val="3783413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0169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CCFFCC"/>
          </a:solidFill>
        </a:ln>
      </c:spPr>
      <c:thickness val="0"/>
    </c:sideWall>
    <c:backWall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CCFFCC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General &amp; Special Education Cash Flows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8175"/>
          <c:w val="0.96025"/>
          <c:h val="0.7525"/>
        </c:manualLayout>
      </c:layout>
      <c:lineChart>
        <c:grouping val="standard"/>
        <c:varyColors val="0"/>
        <c:ser>
          <c:idx val="0"/>
          <c:order val="0"/>
          <c:tx>
            <c:v>General Fund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Graphs!$A$4:$A$15</c:f>
              <c:strCache/>
            </c:strRef>
          </c:cat>
          <c:val>
            <c:numRef>
              <c:f>Graphs!$B$4:$B$15</c:f>
              <c:numCache/>
            </c:numRef>
          </c:val>
          <c:smooth val="0"/>
        </c:ser>
        <c:ser>
          <c:idx val="1"/>
          <c:order val="1"/>
          <c:tx>
            <c:v>Special Education Fund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Graphs!$A$4:$A$15</c:f>
              <c:strCache/>
            </c:strRef>
          </c:cat>
          <c:val>
            <c:numRef>
              <c:f>Graphs!$C$4:$C$15</c:f>
              <c:numCache/>
            </c:numRef>
          </c:val>
          <c:smooth val="0"/>
        </c:ser>
        <c:marker val="1"/>
        <c:axId val="44666299"/>
        <c:axId val="61200428"/>
      </c:lineChart>
      <c:catAx>
        <c:axId val="446662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00428"/>
        <c:crosses val="autoZero"/>
        <c:auto val="1"/>
        <c:lblOffset val="100"/>
        <c:tickLblSkip val="1"/>
        <c:noMultiLvlLbl val="0"/>
      </c:catAx>
      <c:valAx>
        <c:axId val="61200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66299"/>
        <c:crossesAt val="1"/>
        <c:crossBetween val="between"/>
        <c:dispUnits/>
      </c:valAx>
      <c:spPr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ayout>
        <c:manualLayout>
          <c:xMode val="edge"/>
          <c:yMode val="edge"/>
          <c:x val="0.271"/>
          <c:y val="0.90425"/>
          <c:w val="0.631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Combined Cash Flow, General &amp; Special Ed Funds, 2005 &amp; 2006 Fiscal Years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225"/>
          <c:w val="0.862"/>
          <c:h val="0.71925"/>
        </c:manualLayout>
      </c:layout>
      <c:lineChart>
        <c:grouping val="standard"/>
        <c:varyColors val="0"/>
        <c:ser>
          <c:idx val="0"/>
          <c:order val="0"/>
          <c:tx>
            <c:v>2005-06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Graphs!$D$4:$D$15</c:f>
              <c:strCache/>
            </c:strRef>
          </c:cat>
          <c:val>
            <c:numRef>
              <c:f>Graphs!$E$4:$E$15</c:f>
              <c:numCache/>
            </c:numRef>
          </c:val>
          <c:smooth val="0"/>
        </c:ser>
        <c:ser>
          <c:idx val="1"/>
          <c:order val="1"/>
          <c:tx>
            <c:v>2004-05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Graphs!$D$4:$D$15</c:f>
              <c:strCache/>
            </c:strRef>
          </c:cat>
          <c:val>
            <c:numRef>
              <c:f>Graphs!$F$4:$F$15</c:f>
              <c:numCache/>
            </c:numRef>
          </c:val>
          <c:smooth val="0"/>
        </c:ser>
        <c:marker val="1"/>
        <c:axId val="58287597"/>
        <c:axId val="23674878"/>
      </c:lineChart>
      <c:catAx>
        <c:axId val="58287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74878"/>
        <c:crosses val="autoZero"/>
        <c:auto val="1"/>
        <c:lblOffset val="100"/>
        <c:tickLblSkip val="1"/>
        <c:noMultiLvlLbl val="0"/>
      </c:catAx>
      <c:valAx>
        <c:axId val="23674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87597"/>
        <c:crossesAt val="1"/>
        <c:crossBetween val="between"/>
        <c:dispUnits/>
      </c:valAx>
      <c:spPr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5"/>
          <c:y val="0.91975"/>
          <c:w val="0.36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75</xdr:row>
      <xdr:rowOff>19050</xdr:rowOff>
    </xdr:from>
    <xdr:to>
      <xdr:col>15</xdr:col>
      <xdr:colOff>47625</xdr:colOff>
      <xdr:row>95</xdr:row>
      <xdr:rowOff>19050</xdr:rowOff>
    </xdr:to>
    <xdr:graphicFrame>
      <xdr:nvGraphicFramePr>
        <xdr:cNvPr id="1" name="Chart 12"/>
        <xdr:cNvGraphicFramePr/>
      </xdr:nvGraphicFramePr>
      <xdr:xfrm>
        <a:off x="5476875" y="12163425"/>
        <a:ext cx="4638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523875</xdr:colOff>
      <xdr:row>54</xdr:row>
      <xdr:rowOff>76200</xdr:rowOff>
    </xdr:from>
    <xdr:to>
      <xdr:col>14</xdr:col>
      <xdr:colOff>447675</xdr:colOff>
      <xdr:row>74</xdr:row>
      <xdr:rowOff>66675</xdr:rowOff>
    </xdr:to>
    <xdr:graphicFrame>
      <xdr:nvGraphicFramePr>
        <xdr:cNvPr id="2" name="Chart 13"/>
        <xdr:cNvGraphicFramePr/>
      </xdr:nvGraphicFramePr>
      <xdr:xfrm>
        <a:off x="5715000" y="8820150"/>
        <a:ext cx="41910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54</xdr:row>
      <xdr:rowOff>114300</xdr:rowOff>
    </xdr:from>
    <xdr:to>
      <xdr:col>6</xdr:col>
      <xdr:colOff>600075</xdr:colOff>
      <xdr:row>73</xdr:row>
      <xdr:rowOff>9525</xdr:rowOff>
    </xdr:to>
    <xdr:graphicFrame>
      <xdr:nvGraphicFramePr>
        <xdr:cNvPr id="3" name="Chart 14"/>
        <xdr:cNvGraphicFramePr/>
      </xdr:nvGraphicFramePr>
      <xdr:xfrm>
        <a:off x="314325" y="8858250"/>
        <a:ext cx="486727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74</xdr:row>
      <xdr:rowOff>0</xdr:rowOff>
    </xdr:from>
    <xdr:to>
      <xdr:col>6</xdr:col>
      <xdr:colOff>590550</xdr:colOff>
      <xdr:row>95</xdr:row>
      <xdr:rowOff>9525</xdr:rowOff>
    </xdr:to>
    <xdr:graphicFrame>
      <xdr:nvGraphicFramePr>
        <xdr:cNvPr id="4" name="Chart 15"/>
        <xdr:cNvGraphicFramePr/>
      </xdr:nvGraphicFramePr>
      <xdr:xfrm>
        <a:off x="314325" y="11982450"/>
        <a:ext cx="4857750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3.140625" style="0" customWidth="1"/>
    <col min="2" max="2" width="2.8515625" style="0" customWidth="1"/>
    <col min="3" max="3" width="21.7109375" style="0" customWidth="1"/>
    <col min="4" max="4" width="13.421875" style="0" customWidth="1"/>
    <col min="5" max="5" width="1.8515625" style="0" customWidth="1"/>
    <col min="6" max="6" width="13.421875" style="0" customWidth="1"/>
    <col min="7" max="7" width="2.00390625" style="0" customWidth="1"/>
    <col min="8" max="8" width="10.8515625" style="0" customWidth="1"/>
    <col min="9" max="9" width="1.7109375" style="0" customWidth="1"/>
    <col min="10" max="10" width="11.28125" style="0" bestFit="1" customWidth="1"/>
    <col min="11" max="11" width="1.8515625" style="0" customWidth="1"/>
    <col min="12" max="12" width="11.28125" style="0" bestFit="1" customWidth="1"/>
  </cols>
  <sheetData>
    <row r="1" spans="1:12" ht="12.75">
      <c r="A1" s="45" t="s">
        <v>198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>
      <c r="A2" s="45" t="s">
        <v>169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.75">
      <c r="A3" s="46">
        <v>38748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8:12" ht="12.75">
      <c r="H5" s="2" t="s">
        <v>22</v>
      </c>
      <c r="I5" s="2"/>
      <c r="J5" s="2" t="s">
        <v>25</v>
      </c>
      <c r="K5" s="2"/>
      <c r="L5" s="2" t="s">
        <v>27</v>
      </c>
    </row>
    <row r="6" spans="4:12" ht="12.75">
      <c r="D6" s="2" t="s">
        <v>17</v>
      </c>
      <c r="E6" s="2"/>
      <c r="F6" s="2" t="s">
        <v>19</v>
      </c>
      <c r="H6" s="2" t="s">
        <v>23</v>
      </c>
      <c r="I6" s="2"/>
      <c r="J6" s="2" t="s">
        <v>26</v>
      </c>
      <c r="K6" s="2"/>
      <c r="L6" s="2" t="s">
        <v>28</v>
      </c>
    </row>
    <row r="7" spans="4:12" ht="12.75">
      <c r="D7" s="2" t="s">
        <v>18</v>
      </c>
      <c r="E7" s="2"/>
      <c r="F7" s="2" t="s">
        <v>18</v>
      </c>
      <c r="H7" s="2" t="s">
        <v>18</v>
      </c>
      <c r="I7" s="2"/>
      <c r="J7" s="2" t="s">
        <v>18</v>
      </c>
      <c r="K7" s="2"/>
      <c r="L7" s="2" t="s">
        <v>18</v>
      </c>
    </row>
    <row r="9" spans="1:3" ht="12.75">
      <c r="A9" s="45"/>
      <c r="B9" s="45"/>
      <c r="C9" s="45"/>
    </row>
    <row r="10" spans="1:12" ht="12.75">
      <c r="A10" t="s">
        <v>0</v>
      </c>
      <c r="D10" s="4">
        <f>754519.44+1382260.56+300</f>
        <v>2137080</v>
      </c>
      <c r="E10" s="4"/>
      <c r="F10" s="4">
        <f>-26856.7+271.04+34.52</f>
        <v>-26551.14</v>
      </c>
      <c r="H10" s="4">
        <v>15640.41</v>
      </c>
      <c r="I10" s="4"/>
      <c r="J10" s="4">
        <v>805308.29</v>
      </c>
      <c r="K10" s="4"/>
      <c r="L10" s="4">
        <v>185665.77</v>
      </c>
    </row>
    <row r="11" spans="1:12" ht="12.75">
      <c r="A11" t="s">
        <v>160</v>
      </c>
      <c r="D11" s="4">
        <v>0</v>
      </c>
      <c r="E11" s="4"/>
      <c r="F11" s="4">
        <v>0</v>
      </c>
      <c r="H11" s="4"/>
      <c r="I11" s="4"/>
      <c r="J11" s="4"/>
      <c r="K11" s="4"/>
      <c r="L11" s="4"/>
    </row>
    <row r="12" spans="1:12" ht="12.75">
      <c r="A12" t="s">
        <v>1</v>
      </c>
      <c r="D12" s="4">
        <v>3470</v>
      </c>
      <c r="E12" s="4"/>
      <c r="F12" s="4">
        <v>0</v>
      </c>
      <c r="H12" s="4">
        <v>0</v>
      </c>
      <c r="I12" s="4"/>
      <c r="J12" s="4"/>
      <c r="K12" s="4"/>
      <c r="L12" s="4"/>
    </row>
    <row r="13" spans="1:12" ht="12.75">
      <c r="A13" t="s">
        <v>20</v>
      </c>
      <c r="D13" s="4">
        <v>0</v>
      </c>
      <c r="E13" s="4"/>
      <c r="F13" s="4"/>
      <c r="H13" s="4"/>
      <c r="I13" s="4"/>
      <c r="J13" s="4"/>
      <c r="K13" s="4"/>
      <c r="L13" s="4"/>
    </row>
    <row r="14" spans="1:12" ht="12.75">
      <c r="A14" t="s">
        <v>24</v>
      </c>
      <c r="D14" s="4"/>
      <c r="E14" s="4"/>
      <c r="F14" s="4"/>
      <c r="H14" s="4">
        <v>802.42</v>
      </c>
      <c r="I14" s="4"/>
      <c r="J14" s="4"/>
      <c r="K14" s="4"/>
      <c r="L14" s="4"/>
    </row>
    <row r="15" spans="1:12" ht="12.75">
      <c r="A15" t="s">
        <v>2</v>
      </c>
      <c r="D15" s="4">
        <v>234629.63</v>
      </c>
      <c r="E15" s="4"/>
      <c r="F15" s="4">
        <v>339830.18</v>
      </c>
      <c r="H15" s="4"/>
      <c r="I15" s="4"/>
      <c r="J15" s="4"/>
      <c r="K15" s="4"/>
      <c r="L15" s="4"/>
    </row>
    <row r="16" spans="1:12" ht="12.75">
      <c r="A16" t="s">
        <v>3</v>
      </c>
      <c r="D16" s="18">
        <v>4413.03</v>
      </c>
      <c r="E16" s="4"/>
      <c r="F16" s="18">
        <v>0</v>
      </c>
      <c r="H16" s="18"/>
      <c r="I16" s="4"/>
      <c r="J16" s="18"/>
      <c r="K16" s="4"/>
      <c r="L16" s="18"/>
    </row>
    <row r="17" spans="4:12" ht="12.75">
      <c r="D17" s="4"/>
      <c r="E17" s="4"/>
      <c r="F17" s="4"/>
      <c r="H17" s="4"/>
      <c r="I17" s="4"/>
      <c r="J17" s="4"/>
      <c r="K17" s="4"/>
      <c r="L17" s="4"/>
    </row>
    <row r="18" spans="2:12" ht="13.5" thickBot="1">
      <c r="B18" s="3" t="s">
        <v>4</v>
      </c>
      <c r="D18" s="10">
        <f>SUM(D10:D16)</f>
        <v>2379592.6599999997</v>
      </c>
      <c r="E18" s="5"/>
      <c r="F18" s="10">
        <f>SUM(F10:F16)</f>
        <v>313279.04</v>
      </c>
      <c r="G18" s="3"/>
      <c r="H18" s="10">
        <f>SUM(H10:H16)</f>
        <v>16442.829999999998</v>
      </c>
      <c r="I18" s="5"/>
      <c r="J18" s="10">
        <f>SUM(J10:J16)</f>
        <v>805308.29</v>
      </c>
      <c r="K18" s="5"/>
      <c r="L18" s="10">
        <f>SUM(L10:L16)</f>
        <v>185665.77</v>
      </c>
    </row>
    <row r="19" spans="4:12" ht="13.5" thickTop="1">
      <c r="D19" s="4"/>
      <c r="E19" s="4"/>
      <c r="F19" s="4"/>
      <c r="H19" s="4"/>
      <c r="I19" s="4"/>
      <c r="J19" s="4"/>
      <c r="K19" s="4"/>
      <c r="L19" s="4"/>
    </row>
    <row r="20" spans="1:12" ht="12.75">
      <c r="A20" s="45"/>
      <c r="B20" s="45"/>
      <c r="C20" s="45"/>
      <c r="D20" s="4"/>
      <c r="E20" s="4"/>
      <c r="F20" s="4"/>
      <c r="H20" s="4"/>
      <c r="I20" s="4"/>
      <c r="J20" s="4"/>
      <c r="K20" s="4"/>
      <c r="L20" s="4"/>
    </row>
    <row r="21" spans="1:12" ht="12.75">
      <c r="A21" s="3" t="s">
        <v>10</v>
      </c>
      <c r="D21" s="4"/>
      <c r="E21" s="4"/>
      <c r="F21" s="4"/>
      <c r="H21" s="4"/>
      <c r="I21" s="4"/>
      <c r="J21" s="4"/>
      <c r="K21" s="4"/>
      <c r="L21" s="4"/>
    </row>
    <row r="22" spans="2:12" ht="12.75">
      <c r="B22" t="s">
        <v>5</v>
      </c>
      <c r="D22" s="4">
        <v>20189.69</v>
      </c>
      <c r="E22" s="4"/>
      <c r="F22" s="4">
        <v>21953.24</v>
      </c>
      <c r="H22" s="4">
        <v>498.13</v>
      </c>
      <c r="I22" s="4"/>
      <c r="J22" s="4"/>
      <c r="K22" s="4"/>
      <c r="L22" s="4">
        <v>0</v>
      </c>
    </row>
    <row r="23" spans="2:12" ht="12.75">
      <c r="B23" t="s">
        <v>6</v>
      </c>
      <c r="D23" s="4"/>
      <c r="E23" s="4"/>
      <c r="F23" s="4">
        <v>0</v>
      </c>
      <c r="H23" s="4"/>
      <c r="I23" s="4"/>
      <c r="J23" s="4"/>
      <c r="K23" s="4"/>
      <c r="L23" s="4"/>
    </row>
    <row r="24" spans="2:12" ht="12.75">
      <c r="B24" t="s">
        <v>21</v>
      </c>
      <c r="D24" s="4"/>
      <c r="E24" s="4"/>
      <c r="F24" s="4">
        <v>0</v>
      </c>
      <c r="H24" s="4"/>
      <c r="I24" s="4"/>
      <c r="J24" s="4"/>
      <c r="K24" s="4"/>
      <c r="L24" s="4">
        <v>143200</v>
      </c>
    </row>
    <row r="25" spans="2:12" ht="12.75">
      <c r="B25" t="s">
        <v>127</v>
      </c>
      <c r="D25" s="4"/>
      <c r="E25" s="4"/>
      <c r="F25" s="4"/>
      <c r="H25" s="4"/>
      <c r="I25" s="4"/>
      <c r="J25" s="4"/>
      <c r="K25" s="4"/>
      <c r="L25" s="4"/>
    </row>
    <row r="26" spans="2:12" ht="12.75">
      <c r="B26" t="s">
        <v>7</v>
      </c>
      <c r="D26" s="4">
        <v>19.01</v>
      </c>
      <c r="E26" s="4"/>
      <c r="F26" s="4">
        <v>0</v>
      </c>
      <c r="H26" s="4"/>
      <c r="I26" s="4"/>
      <c r="J26" s="4"/>
      <c r="K26" s="4"/>
      <c r="L26" s="4"/>
    </row>
    <row r="27" spans="2:12" ht="12.75">
      <c r="B27" t="s">
        <v>175</v>
      </c>
      <c r="D27" s="4">
        <v>23497.11</v>
      </c>
      <c r="E27" s="4"/>
      <c r="F27" s="4">
        <v>306637.99</v>
      </c>
      <c r="H27" s="4"/>
      <c r="I27" s="4"/>
      <c r="J27" s="4"/>
      <c r="K27" s="4"/>
      <c r="L27" s="4"/>
    </row>
    <row r="28" spans="2:12" ht="12.75">
      <c r="B28" t="s">
        <v>8</v>
      </c>
      <c r="D28" s="18">
        <v>270</v>
      </c>
      <c r="E28" s="4"/>
      <c r="F28" s="18"/>
      <c r="H28" s="18">
        <v>41.52</v>
      </c>
      <c r="I28" s="4"/>
      <c r="J28" s="18"/>
      <c r="K28" s="4"/>
      <c r="L28" s="18"/>
    </row>
    <row r="29" spans="4:12" ht="12.75">
      <c r="D29" s="4"/>
      <c r="E29" s="4"/>
      <c r="F29" s="4"/>
      <c r="H29" s="4"/>
      <c r="I29" s="4"/>
      <c r="J29" s="4"/>
      <c r="K29" s="4"/>
      <c r="L29" s="4"/>
    </row>
    <row r="30" spans="3:12" ht="12.75">
      <c r="C30" s="3" t="s">
        <v>9</v>
      </c>
      <c r="D30" s="19">
        <f>SUM(D22:D28)</f>
        <v>43975.81</v>
      </c>
      <c r="E30" s="7"/>
      <c r="F30" s="19">
        <f>SUM(F22:F28)</f>
        <v>328591.23</v>
      </c>
      <c r="G30" s="8"/>
      <c r="H30" s="19">
        <f>SUM(H22:H28)</f>
        <v>539.65</v>
      </c>
      <c r="I30" s="7"/>
      <c r="J30" s="19">
        <f>SUM(J22:J28)</f>
        <v>0</v>
      </c>
      <c r="K30" s="7"/>
      <c r="L30" s="19">
        <f>SUM(L22:L28)</f>
        <v>143200</v>
      </c>
    </row>
    <row r="31" spans="4:12" ht="12.75">
      <c r="D31" s="4"/>
      <c r="E31" s="4"/>
      <c r="F31" s="4"/>
      <c r="H31" s="4"/>
      <c r="I31" s="4"/>
      <c r="J31" s="4"/>
      <c r="K31" s="4"/>
      <c r="L31" s="4"/>
    </row>
    <row r="32" spans="1:12" ht="12.75">
      <c r="A32" s="3" t="s">
        <v>11</v>
      </c>
      <c r="D32" s="4"/>
      <c r="E32" s="4"/>
      <c r="F32" s="4"/>
      <c r="H32" s="4"/>
      <c r="I32" s="4"/>
      <c r="J32" s="4"/>
      <c r="K32" s="4"/>
      <c r="L32" s="4"/>
    </row>
    <row r="33" spans="2:12" ht="12.75">
      <c r="B33" t="s">
        <v>12</v>
      </c>
      <c r="D33" s="4">
        <f>2514883.05</f>
        <v>2514883.05</v>
      </c>
      <c r="E33" s="4"/>
      <c r="F33" s="4">
        <v>379033.65</v>
      </c>
      <c r="H33" s="4">
        <v>17809.46</v>
      </c>
      <c r="I33" s="4"/>
      <c r="J33" s="4">
        <v>801028.48</v>
      </c>
      <c r="K33" s="4"/>
      <c r="L33" s="4">
        <v>50625.83</v>
      </c>
    </row>
    <row r="34" spans="2:12" ht="12.75">
      <c r="B34" t="s">
        <v>13</v>
      </c>
      <c r="D34" s="4">
        <f>'GF Revenue'!F42</f>
        <v>2100307.16</v>
      </c>
      <c r="E34" s="4"/>
      <c r="F34" s="4">
        <f>'SPED Revenue'!F34</f>
        <v>2944440</v>
      </c>
      <c r="H34" s="4">
        <v>33963.25</v>
      </c>
      <c r="I34" s="4"/>
      <c r="J34" s="4">
        <v>16858.56</v>
      </c>
      <c r="K34" s="4"/>
      <c r="L34" s="4">
        <v>17368.68</v>
      </c>
    </row>
    <row r="35" spans="2:12" ht="12.75">
      <c r="B35" t="s">
        <v>14</v>
      </c>
      <c r="D35" s="18">
        <f>-'GF Expend'!G36</f>
        <v>-2279573.3600000003</v>
      </c>
      <c r="E35" s="4"/>
      <c r="F35" s="18">
        <f>-'SE Expend'!G35</f>
        <v>-3338785.84</v>
      </c>
      <c r="H35" s="18">
        <v>-35869.53</v>
      </c>
      <c r="I35" s="4"/>
      <c r="J35" s="18">
        <v>-12578.75</v>
      </c>
      <c r="K35" s="4"/>
      <c r="L35" s="18">
        <v>-25528.74</v>
      </c>
    </row>
    <row r="36" spans="4:12" ht="12.75">
      <c r="D36" s="7"/>
      <c r="E36" s="7"/>
      <c r="F36" s="7"/>
      <c r="G36" s="8"/>
      <c r="H36" s="7"/>
      <c r="I36" s="7"/>
      <c r="J36" s="7"/>
      <c r="K36" s="7"/>
      <c r="L36" s="7"/>
    </row>
    <row r="37" spans="3:12" ht="12.75">
      <c r="C37" t="s">
        <v>15</v>
      </c>
      <c r="D37" s="19">
        <f>SUM(D33:D35)</f>
        <v>2335616.8499999996</v>
      </c>
      <c r="E37" s="7"/>
      <c r="F37" s="19">
        <f>SUM(F33:F35)</f>
        <v>-15312.189999999944</v>
      </c>
      <c r="G37" s="8"/>
      <c r="H37" s="19">
        <f>SUM(H33:H35)</f>
        <v>15903.18</v>
      </c>
      <c r="I37" s="7"/>
      <c r="J37" s="19">
        <f>SUM(J33:J35)</f>
        <v>805308.29</v>
      </c>
      <c r="K37" s="7"/>
      <c r="L37" s="19">
        <f>SUM(L33:L35)</f>
        <v>42465.770000000004</v>
      </c>
    </row>
    <row r="38" spans="4:12" ht="12.75">
      <c r="D38" s="4"/>
      <c r="E38" s="4"/>
      <c r="F38" s="4"/>
      <c r="H38" s="4"/>
      <c r="I38" s="4"/>
      <c r="J38" s="4"/>
      <c r="K38" s="4"/>
      <c r="L38" s="4"/>
    </row>
    <row r="39" spans="1:12" ht="13.5" thickBot="1">
      <c r="A39" s="3" t="s">
        <v>16</v>
      </c>
      <c r="D39" s="10">
        <f>D30+D37</f>
        <v>2379592.6599999997</v>
      </c>
      <c r="E39" s="5"/>
      <c r="F39" s="10">
        <f>F37+F30</f>
        <v>313279.04000000004</v>
      </c>
      <c r="G39" s="3"/>
      <c r="H39" s="10">
        <f>H30+H37</f>
        <v>16442.83</v>
      </c>
      <c r="I39" s="5"/>
      <c r="J39" s="10">
        <f>J30+J37</f>
        <v>805308.29</v>
      </c>
      <c r="K39" s="5"/>
      <c r="L39" s="10">
        <f>L30+L37</f>
        <v>185665.77000000002</v>
      </c>
    </row>
    <row r="40" spans="4:12" ht="13.5" thickTop="1">
      <c r="D40" s="6"/>
      <c r="H40" s="4"/>
      <c r="I40" s="4"/>
      <c r="J40" s="4"/>
      <c r="K40" s="4"/>
      <c r="L40" s="4"/>
    </row>
  </sheetData>
  <sheetProtection/>
  <mergeCells count="5">
    <mergeCell ref="A1:L1"/>
    <mergeCell ref="A9:C9"/>
    <mergeCell ref="A20:C20"/>
    <mergeCell ref="A2:L2"/>
    <mergeCell ref="A3:L3"/>
  </mergeCells>
  <printOptions/>
  <pageMargins left="0.7" right="0.2" top="0.7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4.421875" style="0" customWidth="1"/>
    <col min="4" max="4" width="15.57421875" style="4" customWidth="1"/>
    <col min="5" max="5" width="3.421875" style="0" customWidth="1"/>
    <col min="6" max="6" width="14.7109375" style="0" customWidth="1"/>
    <col min="7" max="7" width="2.7109375" style="0" customWidth="1"/>
    <col min="8" max="8" width="10.140625" style="0" customWidth="1"/>
  </cols>
  <sheetData>
    <row r="1" spans="1:8" ht="12.75">
      <c r="A1" s="45" t="s">
        <v>197</v>
      </c>
      <c r="B1" s="45"/>
      <c r="C1" s="45"/>
      <c r="D1" s="45"/>
      <c r="E1" s="45"/>
      <c r="F1" s="45"/>
      <c r="G1" s="45"/>
      <c r="H1" s="45"/>
    </row>
    <row r="2" spans="1:8" ht="12.75">
      <c r="A2" s="45" t="s">
        <v>170</v>
      </c>
      <c r="B2" s="45"/>
      <c r="C2" s="45"/>
      <c r="D2" s="45"/>
      <c r="E2" s="45"/>
      <c r="F2" s="45"/>
      <c r="G2" s="45"/>
      <c r="H2" s="45"/>
    </row>
    <row r="3" spans="1:8" ht="12.75">
      <c r="A3" s="46" t="s">
        <v>196</v>
      </c>
      <c r="B3" s="46"/>
      <c r="C3" s="46"/>
      <c r="D3" s="46"/>
      <c r="E3" s="46"/>
      <c r="F3" s="46"/>
      <c r="G3" s="46"/>
      <c r="H3" s="46"/>
    </row>
    <row r="4" spans="1:8" ht="12.75">
      <c r="A4" s="1"/>
      <c r="F4" s="2"/>
      <c r="G4" s="2"/>
      <c r="H4" s="2"/>
    </row>
    <row r="5" spans="1:8" ht="12.75">
      <c r="A5" s="1"/>
      <c r="D5" s="12" t="s">
        <v>57</v>
      </c>
      <c r="E5" s="2"/>
      <c r="F5" s="2" t="s">
        <v>58</v>
      </c>
      <c r="G5" s="2"/>
      <c r="H5" s="2" t="s">
        <v>79</v>
      </c>
    </row>
    <row r="6" ht="12.75">
      <c r="A6" t="s">
        <v>29</v>
      </c>
    </row>
    <row r="7" ht="12.75">
      <c r="B7" t="s">
        <v>31</v>
      </c>
    </row>
    <row r="8" spans="3:8" ht="12.75">
      <c r="C8" t="s">
        <v>30</v>
      </c>
      <c r="D8" s="4">
        <f>655956+3500+100</f>
        <v>659556</v>
      </c>
      <c r="F8" s="4">
        <f>232869.66+1699.29+41.47+74.07</f>
        <v>234684.49000000002</v>
      </c>
      <c r="G8" s="4"/>
      <c r="H8" s="11">
        <f aca="true" t="shared" si="0" ref="H8:H13">F8/D8</f>
        <v>0.3558219317237657</v>
      </c>
    </row>
    <row r="9" spans="3:8" ht="12.75">
      <c r="C9" t="s">
        <v>32</v>
      </c>
      <c r="D9" s="4">
        <v>50000</v>
      </c>
      <c r="F9" s="4">
        <v>23787.04</v>
      </c>
      <c r="G9" s="4"/>
      <c r="H9" s="11">
        <f t="shared" si="0"/>
        <v>0.4757408</v>
      </c>
    </row>
    <row r="10" spans="3:8" ht="12.75">
      <c r="C10" t="s">
        <v>41</v>
      </c>
      <c r="D10" s="4">
        <v>22840</v>
      </c>
      <c r="F10" s="4">
        <v>10417.06</v>
      </c>
      <c r="G10" s="4"/>
      <c r="H10" s="11">
        <f>F10/D10</f>
        <v>0.45608844133099824</v>
      </c>
    </row>
    <row r="11" spans="3:8" ht="12.75">
      <c r="C11" t="s">
        <v>59</v>
      </c>
      <c r="D11" s="4">
        <v>175000</v>
      </c>
      <c r="F11" s="4">
        <v>218.4</v>
      </c>
      <c r="G11" s="4"/>
      <c r="H11" s="11">
        <f t="shared" si="0"/>
        <v>0.001248</v>
      </c>
    </row>
    <row r="12" spans="3:8" ht="12.75">
      <c r="C12" t="s">
        <v>33</v>
      </c>
      <c r="D12" s="4">
        <f>1500+1430+300+5550</f>
        <v>8780</v>
      </c>
      <c r="F12" s="4">
        <f>304.63+1430+124.4+8283.98+2361.58</f>
        <v>12504.59</v>
      </c>
      <c r="G12" s="4"/>
      <c r="H12" s="11">
        <f t="shared" si="0"/>
        <v>1.4242129840546698</v>
      </c>
    </row>
    <row r="13" spans="4:8" ht="12.75">
      <c r="D13" s="9">
        <f>SUM(D8:D12)</f>
        <v>916176</v>
      </c>
      <c r="F13" s="9">
        <f>SUM(F8:F12)</f>
        <v>281611.5800000001</v>
      </c>
      <c r="G13" s="5"/>
      <c r="H13" s="13">
        <f t="shared" si="0"/>
        <v>0.30737716333979503</v>
      </c>
    </row>
    <row r="14" spans="2:8" ht="12.75">
      <c r="B14" t="s">
        <v>34</v>
      </c>
      <c r="F14" s="4"/>
      <c r="G14" s="4"/>
      <c r="H14" s="4"/>
    </row>
    <row r="15" spans="3:8" ht="12.75">
      <c r="C15" t="s">
        <v>35</v>
      </c>
      <c r="D15" s="4">
        <v>573698</v>
      </c>
      <c r="F15" s="4">
        <v>286849.1</v>
      </c>
      <c r="G15" s="4"/>
      <c r="H15" s="11">
        <f aca="true" t="shared" si="1" ref="H15:H20">F15/D15</f>
        <v>0.5000001743077368</v>
      </c>
    </row>
    <row r="16" spans="3:8" ht="12.75">
      <c r="C16" t="s">
        <v>36</v>
      </c>
      <c r="D16" s="4">
        <v>41248</v>
      </c>
      <c r="F16" s="4">
        <v>41248.8</v>
      </c>
      <c r="G16" s="4"/>
      <c r="H16" s="11">
        <f t="shared" si="1"/>
        <v>1.0000193948797518</v>
      </c>
    </row>
    <row r="17" spans="3:8" ht="12.75">
      <c r="C17" t="s">
        <v>37</v>
      </c>
      <c r="D17" s="4">
        <v>28804</v>
      </c>
      <c r="F17" s="4">
        <v>16527.49</v>
      </c>
      <c r="G17" s="4"/>
      <c r="H17" s="11">
        <f t="shared" si="1"/>
        <v>0.5737914872934315</v>
      </c>
    </row>
    <row r="18" spans="3:8" ht="12.75">
      <c r="C18" t="s">
        <v>38</v>
      </c>
      <c r="D18" s="4">
        <f>237727+10187</f>
        <v>247914</v>
      </c>
      <c r="F18" s="4">
        <f>5000+116409.5</f>
        <v>121409.5</v>
      </c>
      <c r="G18" s="4"/>
      <c r="H18" s="11">
        <f t="shared" si="1"/>
        <v>0.4897242592189227</v>
      </c>
    </row>
    <row r="19" spans="3:8" ht="12.75">
      <c r="C19" t="s">
        <v>33</v>
      </c>
      <c r="D19" s="4">
        <f>4288+7975+19600</f>
        <v>31863</v>
      </c>
      <c r="F19" s="4">
        <f>5799.15+5346.04</f>
        <v>11145.189999999999</v>
      </c>
      <c r="G19" s="4"/>
      <c r="H19" s="11">
        <f t="shared" si="1"/>
        <v>0.3497847032608354</v>
      </c>
    </row>
    <row r="20" spans="4:8" ht="12.75">
      <c r="D20" s="9">
        <f>SUM(D15:D19)</f>
        <v>923527</v>
      </c>
      <c r="F20" s="9">
        <f>SUM(F15:F19)</f>
        <v>477180.07999999996</v>
      </c>
      <c r="G20" s="4"/>
      <c r="H20" s="14">
        <f t="shared" si="1"/>
        <v>0.5166931556955021</v>
      </c>
    </row>
    <row r="21" spans="2:8" ht="12.75">
      <c r="B21" t="s">
        <v>39</v>
      </c>
      <c r="F21" s="4"/>
      <c r="G21" s="4"/>
      <c r="H21" s="4"/>
    </row>
    <row r="22" spans="3:8" ht="12.75">
      <c r="C22" t="s">
        <v>192</v>
      </c>
      <c r="D22" s="4">
        <v>113010</v>
      </c>
      <c r="F22" s="4">
        <v>13770.1</v>
      </c>
      <c r="G22" s="4"/>
      <c r="H22" s="11">
        <f>F22/D22</f>
        <v>0.12184850898150607</v>
      </c>
    </row>
    <row r="23" spans="3:8" ht="12.75">
      <c r="C23" t="s">
        <v>43</v>
      </c>
      <c r="D23" s="24">
        <f>8597+11668</f>
        <v>20265</v>
      </c>
      <c r="E23" s="31"/>
      <c r="F23" s="24">
        <f>466.32+10616.4</f>
        <v>11082.72</v>
      </c>
      <c r="G23" s="24"/>
      <c r="H23" s="11">
        <f>F23/D23</f>
        <v>0.5468897113249445</v>
      </c>
    </row>
    <row r="24" spans="3:8" ht="12.75">
      <c r="C24" t="s">
        <v>60</v>
      </c>
      <c r="D24" s="4">
        <v>366</v>
      </c>
      <c r="F24" s="4">
        <v>0</v>
      </c>
      <c r="G24" s="4"/>
      <c r="H24" s="11">
        <f aca="true" t="shared" si="2" ref="H24:H30">F24/D24</f>
        <v>0</v>
      </c>
    </row>
    <row r="25" spans="3:8" ht="12.75">
      <c r="C25" t="s">
        <v>40</v>
      </c>
      <c r="D25" s="4">
        <f>340000+343432+481208</f>
        <v>1164640</v>
      </c>
      <c r="F25" s="4">
        <f>160592.84+174188.14+211271.13</f>
        <v>546052.11</v>
      </c>
      <c r="G25" s="4"/>
      <c r="H25" s="11">
        <f t="shared" si="2"/>
        <v>0.4688591410221184</v>
      </c>
    </row>
    <row r="26" spans="3:8" ht="12.75">
      <c r="C26" t="s">
        <v>42</v>
      </c>
      <c r="D26" s="4">
        <v>419162</v>
      </c>
      <c r="F26" s="4">
        <v>72816.34</v>
      </c>
      <c r="G26" s="4"/>
      <c r="H26" s="11">
        <f>F26/D26</f>
        <v>0.1737188485597454</v>
      </c>
    </row>
    <row r="27" spans="3:8" ht="12.75">
      <c r="C27" t="s">
        <v>128</v>
      </c>
      <c r="D27" s="4">
        <v>31979</v>
      </c>
      <c r="F27" s="4">
        <v>31978.61</v>
      </c>
      <c r="G27" s="4"/>
      <c r="H27" s="11">
        <f t="shared" si="2"/>
        <v>0.999987804496701</v>
      </c>
    </row>
    <row r="28" spans="3:8" ht="12.75">
      <c r="C28" t="s">
        <v>129</v>
      </c>
      <c r="D28" s="4">
        <v>12065</v>
      </c>
      <c r="F28" s="4">
        <v>0</v>
      </c>
      <c r="G28" s="4"/>
      <c r="H28" s="11">
        <f t="shared" si="2"/>
        <v>0</v>
      </c>
    </row>
    <row r="29" spans="3:8" ht="12.75">
      <c r="C29" t="s">
        <v>44</v>
      </c>
      <c r="D29" s="4">
        <v>28685</v>
      </c>
      <c r="F29" s="4">
        <v>0</v>
      </c>
      <c r="G29" s="4"/>
      <c r="H29" s="11">
        <f>F29/D29</f>
        <v>0</v>
      </c>
    </row>
    <row r="30" spans="4:8" ht="12.75">
      <c r="D30" s="9">
        <f>SUM(D22:D29)</f>
        <v>1790172</v>
      </c>
      <c r="F30" s="9">
        <f>SUM(F22:F29)</f>
        <v>675699.8799999999</v>
      </c>
      <c r="G30" s="4"/>
      <c r="H30" s="13">
        <f t="shared" si="2"/>
        <v>0.3774496975709596</v>
      </c>
    </row>
    <row r="31" spans="2:8" ht="12.75">
      <c r="B31" t="s">
        <v>45</v>
      </c>
      <c r="F31" s="4"/>
      <c r="G31" s="4"/>
      <c r="H31" s="4"/>
    </row>
    <row r="32" spans="3:8" ht="12.75">
      <c r="C32" t="s">
        <v>163</v>
      </c>
      <c r="D32" s="4">
        <f>59925+18246</f>
        <v>78171</v>
      </c>
      <c r="F32" s="4">
        <f>44185+3181</f>
        <v>47366</v>
      </c>
      <c r="G32" s="4"/>
      <c r="H32" s="11">
        <f>F32/D32</f>
        <v>0.6059280295761855</v>
      </c>
    </row>
    <row r="33" spans="3:8" ht="12.75">
      <c r="C33" t="s">
        <v>46</v>
      </c>
      <c r="D33" s="4">
        <v>342250</v>
      </c>
      <c r="F33" s="4">
        <v>172500</v>
      </c>
      <c r="G33" s="4"/>
      <c r="H33" s="11">
        <f aca="true" t="shared" si="3" ref="H33:H40">F33/D33</f>
        <v>0.504017531044558</v>
      </c>
    </row>
    <row r="34" spans="3:8" ht="12.75">
      <c r="C34" t="s">
        <v>47</v>
      </c>
      <c r="D34" s="4">
        <v>120000</v>
      </c>
      <c r="F34" s="4">
        <v>108320</v>
      </c>
      <c r="G34" s="4"/>
      <c r="H34" s="11">
        <f t="shared" si="3"/>
        <v>0.9026666666666666</v>
      </c>
    </row>
    <row r="35" spans="3:8" ht="12.75">
      <c r="C35" t="s">
        <v>48</v>
      </c>
      <c r="D35" s="4">
        <v>80000</v>
      </c>
      <c r="F35" s="4">
        <v>80000</v>
      </c>
      <c r="G35" s="4"/>
      <c r="H35" s="11">
        <f t="shared" si="3"/>
        <v>1</v>
      </c>
    </row>
    <row r="36" spans="3:8" ht="12.75">
      <c r="C36" t="s">
        <v>49</v>
      </c>
      <c r="D36" s="4">
        <f>36295+32000+55500</f>
        <v>123795</v>
      </c>
      <c r="F36" s="4">
        <f>27079.8+32000</f>
        <v>59079.8</v>
      </c>
      <c r="G36" s="4"/>
      <c r="H36" s="11">
        <f t="shared" si="3"/>
        <v>0.4772389838038693</v>
      </c>
    </row>
    <row r="37" spans="3:8" ht="12.75">
      <c r="C37" t="s">
        <v>176</v>
      </c>
      <c r="D37" s="4">
        <v>10527</v>
      </c>
      <c r="F37" s="4">
        <v>0</v>
      </c>
      <c r="G37" s="4"/>
      <c r="H37" s="11">
        <f t="shared" si="3"/>
        <v>0</v>
      </c>
    </row>
    <row r="38" spans="3:8" ht="12.75">
      <c r="C38" t="s">
        <v>164</v>
      </c>
      <c r="D38" s="4">
        <f>13921+12783</f>
        <v>26704</v>
      </c>
      <c r="F38" s="4">
        <f>7449.04+9682</f>
        <v>17131.04</v>
      </c>
      <c r="G38" s="4"/>
      <c r="H38" s="11">
        <f t="shared" si="3"/>
        <v>0.6415158777711205</v>
      </c>
    </row>
    <row r="39" spans="3:8" ht="12.75">
      <c r="C39" t="s">
        <v>50</v>
      </c>
      <c r="D39" s="4">
        <f>365015</f>
        <v>365015</v>
      </c>
      <c r="F39" s="4">
        <v>181418.78</v>
      </c>
      <c r="G39" s="4"/>
      <c r="H39" s="11">
        <f t="shared" si="3"/>
        <v>0.4970173280550114</v>
      </c>
    </row>
    <row r="40" spans="4:8" ht="12.75">
      <c r="D40" s="9">
        <f>SUM(D32:D39)</f>
        <v>1146462</v>
      </c>
      <c r="F40" s="9">
        <f>SUM(F32:F39)</f>
        <v>665815.62</v>
      </c>
      <c r="G40" s="4"/>
      <c r="H40" s="13">
        <f t="shared" si="3"/>
        <v>0.5807568153152918</v>
      </c>
    </row>
    <row r="41" spans="6:8" ht="12.75">
      <c r="F41" s="4"/>
      <c r="G41" s="4"/>
      <c r="H41" s="4"/>
    </row>
    <row r="42" spans="3:8" ht="13.5" thickBot="1">
      <c r="C42" s="3" t="s">
        <v>52</v>
      </c>
      <c r="D42" s="10">
        <f>D40+D30+D20+D13</f>
        <v>4776337</v>
      </c>
      <c r="E42" s="3"/>
      <c r="F42" s="10">
        <f>F40+F30+F20+F13</f>
        <v>2100307.16</v>
      </c>
      <c r="G42" s="4"/>
      <c r="H42" s="15">
        <f>F42/D42</f>
        <v>0.43973177772003946</v>
      </c>
    </row>
    <row r="43" ht="13.5" thickTop="1"/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25.7109375" style="0" customWidth="1"/>
    <col min="4" max="4" width="14.7109375" style="0" customWidth="1"/>
    <col min="5" max="5" width="2.421875" style="0" customWidth="1"/>
    <col min="6" max="6" width="13.8515625" style="0" customWidth="1"/>
    <col min="7" max="7" width="2.8515625" style="0" customWidth="1"/>
  </cols>
  <sheetData>
    <row r="1" spans="1:8" ht="12.75">
      <c r="A1" s="45" t="s">
        <v>197</v>
      </c>
      <c r="B1" s="45"/>
      <c r="C1" s="45"/>
      <c r="D1" s="45"/>
      <c r="E1" s="45"/>
      <c r="F1" s="45"/>
      <c r="G1" s="45"/>
      <c r="H1" s="45"/>
    </row>
    <row r="2" spans="1:8" ht="12.75">
      <c r="A2" s="45" t="s">
        <v>171</v>
      </c>
      <c r="B2" s="45"/>
      <c r="C2" s="45"/>
      <c r="D2" s="45"/>
      <c r="E2" s="45"/>
      <c r="F2" s="45"/>
      <c r="G2" s="45"/>
      <c r="H2" s="45"/>
    </row>
    <row r="3" spans="1:8" ht="12.75">
      <c r="A3" s="46" t="str">
        <f>'GF Revenue'!A3:H3</f>
        <v>July 1, 2005 through January 31, 2006</v>
      </c>
      <c r="B3" s="46"/>
      <c r="C3" s="46"/>
      <c r="D3" s="46"/>
      <c r="E3" s="46"/>
      <c r="F3" s="46"/>
      <c r="G3" s="46"/>
      <c r="H3" s="46"/>
    </row>
    <row r="4" spans="1:8" ht="12.75">
      <c r="A4" s="1"/>
      <c r="D4" s="4"/>
      <c r="F4" s="2"/>
      <c r="G4" s="2"/>
      <c r="H4" s="2"/>
    </row>
    <row r="5" spans="1:8" ht="12.75">
      <c r="A5" s="1"/>
      <c r="D5" s="12" t="s">
        <v>57</v>
      </c>
      <c r="E5" s="2"/>
      <c r="F5" s="2" t="s">
        <v>58</v>
      </c>
      <c r="G5" s="2"/>
      <c r="H5" s="2" t="s">
        <v>79</v>
      </c>
    </row>
    <row r="6" spans="1:4" ht="12.75">
      <c r="A6" t="s">
        <v>29</v>
      </c>
      <c r="D6" s="4"/>
    </row>
    <row r="7" spans="2:4" ht="12.75">
      <c r="B7" t="s">
        <v>31</v>
      </c>
      <c r="D7" s="4"/>
    </row>
    <row r="8" spans="3:8" ht="12.75">
      <c r="C8" t="s">
        <v>30</v>
      </c>
      <c r="D8" s="4">
        <f>2634779+5200+151</f>
        <v>2640130</v>
      </c>
      <c r="F8" s="4">
        <f>931477.93+6796.94+166.06+296.28</f>
        <v>938737.2100000001</v>
      </c>
      <c r="G8" s="4"/>
      <c r="H8" s="11">
        <f aca="true" t="shared" si="0" ref="H8:H13">F8/D8</f>
        <v>0.35556476764401757</v>
      </c>
    </row>
    <row r="9" spans="3:8" ht="12.75">
      <c r="C9" t="s">
        <v>32</v>
      </c>
      <c r="D9" s="4">
        <v>7500</v>
      </c>
      <c r="F9" s="4">
        <v>1216.07</v>
      </c>
      <c r="G9" s="4"/>
      <c r="H9" s="11">
        <f t="shared" si="0"/>
        <v>0.16214266666666666</v>
      </c>
    </row>
    <row r="10" spans="3:8" ht="12.75">
      <c r="C10" t="s">
        <v>51</v>
      </c>
      <c r="D10" s="4">
        <v>806024</v>
      </c>
      <c r="F10" s="4">
        <v>332481.73</v>
      </c>
      <c r="G10" s="4"/>
      <c r="H10" s="11">
        <f>F10/D10</f>
        <v>0.41249606711462683</v>
      </c>
    </row>
    <row r="11" spans="3:8" ht="12.75">
      <c r="C11" t="s">
        <v>162</v>
      </c>
      <c r="D11" s="4">
        <v>6000</v>
      </c>
      <c r="F11" s="4">
        <v>6330.7</v>
      </c>
      <c r="G11" s="4"/>
      <c r="H11" s="11">
        <f t="shared" si="0"/>
        <v>1.0551166666666667</v>
      </c>
    </row>
    <row r="12" spans="3:8" ht="12.75">
      <c r="C12" t="s">
        <v>33</v>
      </c>
      <c r="D12" s="4">
        <v>600</v>
      </c>
      <c r="F12" s="4">
        <f>3651.02+105</f>
        <v>3756.02</v>
      </c>
      <c r="G12" s="4"/>
      <c r="H12" s="11">
        <f t="shared" si="0"/>
        <v>6.260033333333333</v>
      </c>
    </row>
    <row r="13" spans="4:8" ht="12.75">
      <c r="D13" s="9">
        <f>SUM(D8:D12)</f>
        <v>3460254</v>
      </c>
      <c r="F13" s="9">
        <f>SUM(F8:F12)</f>
        <v>1282521.73</v>
      </c>
      <c r="G13" s="5"/>
      <c r="H13" s="13">
        <f t="shared" si="0"/>
        <v>0.37064381111906813</v>
      </c>
    </row>
    <row r="14" spans="2:8" ht="12.75">
      <c r="B14" t="s">
        <v>34</v>
      </c>
      <c r="D14" s="4"/>
      <c r="F14" s="4"/>
      <c r="G14" s="4"/>
      <c r="H14" s="4"/>
    </row>
    <row r="15" spans="3:8" ht="12.75">
      <c r="C15" t="s">
        <v>35</v>
      </c>
      <c r="D15" s="4">
        <v>1044997</v>
      </c>
      <c r="F15" s="4">
        <v>522498.55</v>
      </c>
      <c r="G15" s="4"/>
      <c r="H15" s="11">
        <f>F15/D15</f>
        <v>0.5000000478470273</v>
      </c>
    </row>
    <row r="16" spans="4:8" ht="12.75">
      <c r="D16" s="9">
        <f>SUM(D15:D15)</f>
        <v>1044997</v>
      </c>
      <c r="F16" s="9">
        <f>SUM(F15:F15)</f>
        <v>522498.55</v>
      </c>
      <c r="G16" s="4"/>
      <c r="H16" s="14">
        <f>F16/D16</f>
        <v>0.5000000478470273</v>
      </c>
    </row>
    <row r="17" spans="2:8" ht="12.75">
      <c r="B17" t="s">
        <v>39</v>
      </c>
      <c r="D17" s="4"/>
      <c r="F17" s="4"/>
      <c r="G17" s="4"/>
      <c r="H17" s="4"/>
    </row>
    <row r="18" spans="3:8" ht="12.75">
      <c r="C18" t="s">
        <v>66</v>
      </c>
      <c r="D18" s="4">
        <v>13375</v>
      </c>
      <c r="F18" s="4">
        <v>6966.35</v>
      </c>
      <c r="G18" s="4"/>
      <c r="H18" s="11">
        <f aca="true" t="shared" si="1" ref="H18:H26">F18/D18</f>
        <v>0.5208485981308412</v>
      </c>
    </row>
    <row r="19" spans="3:8" ht="12.75">
      <c r="C19" t="s">
        <v>62</v>
      </c>
      <c r="D19" s="4">
        <v>219817</v>
      </c>
      <c r="F19" s="4">
        <v>104579.87</v>
      </c>
      <c r="G19" s="4"/>
      <c r="H19" s="11">
        <f t="shared" si="1"/>
        <v>0.4757587902664489</v>
      </c>
    </row>
    <row r="20" spans="3:8" ht="12.75">
      <c r="C20" t="s">
        <v>63</v>
      </c>
      <c r="D20" s="4">
        <v>1831485</v>
      </c>
      <c r="F20" s="4">
        <v>880166.46</v>
      </c>
      <c r="G20" s="4"/>
      <c r="H20" s="11">
        <f t="shared" si="1"/>
        <v>0.4805753036470405</v>
      </c>
    </row>
    <row r="21" spans="3:8" ht="12.75">
      <c r="C21" t="s">
        <v>165</v>
      </c>
      <c r="D21" s="4">
        <v>67453</v>
      </c>
      <c r="F21" s="4">
        <v>31679.66</v>
      </c>
      <c r="G21" s="4"/>
      <c r="H21" s="11">
        <f t="shared" si="1"/>
        <v>0.46965531555305173</v>
      </c>
    </row>
    <row r="22" spans="3:8" ht="12.75">
      <c r="C22" t="s">
        <v>64</v>
      </c>
      <c r="D22" s="4">
        <v>50000</v>
      </c>
      <c r="F22" s="4">
        <v>26892.93</v>
      </c>
      <c r="G22" s="4"/>
      <c r="H22" s="11">
        <f t="shared" si="1"/>
        <v>0.5378586</v>
      </c>
    </row>
    <row r="23" spans="3:8" ht="12.75">
      <c r="C23" t="s">
        <v>68</v>
      </c>
      <c r="D23" s="4">
        <v>70000</v>
      </c>
      <c r="F23" s="4">
        <v>34072.58</v>
      </c>
      <c r="G23" s="4"/>
      <c r="H23" s="11">
        <f t="shared" si="1"/>
        <v>0.4867511428571429</v>
      </c>
    </row>
    <row r="24" spans="3:8" ht="12.75">
      <c r="C24" t="s">
        <v>67</v>
      </c>
      <c r="D24" s="4">
        <v>43573</v>
      </c>
      <c r="F24" s="4">
        <v>29226.71</v>
      </c>
      <c r="G24" s="4"/>
      <c r="H24" s="11">
        <f t="shared" si="1"/>
        <v>0.670752759736534</v>
      </c>
    </row>
    <row r="25" spans="3:8" ht="12.75">
      <c r="C25" t="s">
        <v>65</v>
      </c>
      <c r="D25" s="4">
        <v>59604</v>
      </c>
      <c r="F25" s="4">
        <v>25695.16</v>
      </c>
      <c r="G25" s="4"/>
      <c r="H25" s="11">
        <f t="shared" si="1"/>
        <v>0.43109791289175226</v>
      </c>
    </row>
    <row r="26" spans="4:8" ht="12.75">
      <c r="D26" s="9">
        <f>SUM(D18:D25)</f>
        <v>2355307</v>
      </c>
      <c r="F26" s="9">
        <f>SUM(F18:F25)</f>
        <v>1139279.72</v>
      </c>
      <c r="G26" s="4"/>
      <c r="H26" s="13">
        <f t="shared" si="1"/>
        <v>0.48370752517612353</v>
      </c>
    </row>
    <row r="27" spans="2:8" ht="12.75">
      <c r="B27" t="s">
        <v>45</v>
      </c>
      <c r="D27" s="4"/>
      <c r="F27" s="4"/>
      <c r="G27" s="4"/>
      <c r="H27" s="4"/>
    </row>
    <row r="28" spans="3:8" ht="12.75">
      <c r="C28" t="s">
        <v>159</v>
      </c>
      <c r="D28" s="4">
        <v>0</v>
      </c>
      <c r="F28" s="4">
        <v>140</v>
      </c>
      <c r="G28" s="4"/>
      <c r="H28" s="39" t="s">
        <v>61</v>
      </c>
    </row>
    <row r="29" spans="3:8" ht="12.75">
      <c r="C29" t="s">
        <v>49</v>
      </c>
      <c r="D29" s="4">
        <v>52923</v>
      </c>
      <c r="F29" s="4"/>
      <c r="G29" s="4"/>
      <c r="H29" s="11">
        <f>F29/D29</f>
        <v>0</v>
      </c>
    </row>
    <row r="30" spans="3:8" ht="12.75">
      <c r="C30" t="s">
        <v>69</v>
      </c>
      <c r="D30" s="4">
        <v>0</v>
      </c>
      <c r="F30" s="4">
        <v>0</v>
      </c>
      <c r="G30" s="4"/>
      <c r="H30" s="16" t="s">
        <v>61</v>
      </c>
    </row>
    <row r="31" spans="3:8" ht="12.75">
      <c r="C31" t="s">
        <v>161</v>
      </c>
      <c r="D31" s="4">
        <v>0</v>
      </c>
      <c r="F31" s="4">
        <v>0</v>
      </c>
      <c r="G31" s="4"/>
      <c r="H31" s="16" t="s">
        <v>61</v>
      </c>
    </row>
    <row r="32" spans="4:8" ht="12.75">
      <c r="D32" s="9">
        <f>SUM(D29:D31)</f>
        <v>52923</v>
      </c>
      <c r="F32" s="9">
        <f>SUM(F28:F31)</f>
        <v>140</v>
      </c>
      <c r="G32" s="4"/>
      <c r="H32" s="13">
        <f>F32/D32</f>
        <v>0.002645352682198666</v>
      </c>
    </row>
    <row r="33" spans="4:8" ht="12.75">
      <c r="D33" s="4"/>
      <c r="F33" s="4"/>
      <c r="G33" s="4"/>
      <c r="H33" s="4"/>
    </row>
    <row r="34" spans="3:8" ht="13.5" thickBot="1">
      <c r="C34" s="3" t="s">
        <v>52</v>
      </c>
      <c r="D34" s="10">
        <f>D32+D26+D16+D13</f>
        <v>6913481</v>
      </c>
      <c r="E34" s="3"/>
      <c r="F34" s="10">
        <f>F32+F26+F16+F13</f>
        <v>2944440</v>
      </c>
      <c r="G34" s="4"/>
      <c r="H34" s="15">
        <f>F34/D34</f>
        <v>0.42589832820832224</v>
      </c>
    </row>
    <row r="35" ht="13.5" thickTop="1"/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1" width="5.8515625" style="0" customWidth="1"/>
    <col min="2" max="2" width="3.140625" style="0" customWidth="1"/>
    <col min="3" max="3" width="3.00390625" style="0" customWidth="1"/>
    <col min="4" max="4" width="31.57421875" style="0" customWidth="1"/>
    <col min="5" max="5" width="16.00390625" style="0" customWidth="1"/>
    <col min="6" max="6" width="2.8515625" style="0" customWidth="1"/>
    <col min="7" max="7" width="14.00390625" style="0" customWidth="1"/>
    <col min="8" max="8" width="2.28125" style="0" customWidth="1"/>
    <col min="9" max="9" width="8.421875" style="0" customWidth="1"/>
    <col min="10" max="10" width="13.7109375" style="0" customWidth="1"/>
    <col min="11" max="11" width="2.28125" style="0" customWidth="1"/>
    <col min="12" max="12" width="11.140625" style="0" customWidth="1"/>
    <col min="13" max="13" width="2.28125" style="0" customWidth="1"/>
    <col min="14" max="14" width="11.8515625" style="0" customWidth="1"/>
    <col min="15" max="15" width="2.140625" style="0" customWidth="1"/>
    <col min="16" max="16" width="12.00390625" style="0" customWidth="1"/>
    <col min="17" max="17" width="2.421875" style="0" customWidth="1"/>
    <col min="18" max="18" width="11.421875" style="0" customWidth="1"/>
    <col min="19" max="19" width="2.28125" style="0" customWidth="1"/>
    <col min="20" max="20" width="10.57421875" style="0" customWidth="1"/>
  </cols>
  <sheetData>
    <row r="1" spans="2:9" ht="12.75">
      <c r="B1" s="45" t="s">
        <v>197</v>
      </c>
      <c r="C1" s="45"/>
      <c r="D1" s="45"/>
      <c r="E1" s="45"/>
      <c r="F1" s="45"/>
      <c r="G1" s="45"/>
      <c r="H1" s="45"/>
      <c r="I1" s="45"/>
    </row>
    <row r="2" spans="2:9" ht="12.75">
      <c r="B2" s="45" t="s">
        <v>172</v>
      </c>
      <c r="C2" s="45"/>
      <c r="D2" s="45"/>
      <c r="E2" s="45"/>
      <c r="F2" s="45"/>
      <c r="G2" s="45"/>
      <c r="H2" s="45"/>
      <c r="I2" s="45"/>
    </row>
    <row r="3" spans="2:20" ht="12.75">
      <c r="B3" s="47" t="s">
        <v>196</v>
      </c>
      <c r="C3" s="47"/>
      <c r="D3" s="47"/>
      <c r="E3" s="47"/>
      <c r="F3" s="47"/>
      <c r="G3" s="47"/>
      <c r="H3" s="47"/>
      <c r="I3" s="47"/>
      <c r="L3" s="2"/>
      <c r="M3" s="2"/>
      <c r="N3" s="2"/>
      <c r="O3" s="2"/>
      <c r="P3" s="2"/>
      <c r="Q3" s="2"/>
      <c r="R3" s="2"/>
      <c r="S3" s="2"/>
      <c r="T3" s="2"/>
    </row>
    <row r="4" spans="2:20" ht="12.75">
      <c r="B4" s="21"/>
      <c r="C4" s="21"/>
      <c r="D4" s="21"/>
      <c r="E4" s="21"/>
      <c r="F4" s="21"/>
      <c r="G4" s="21"/>
      <c r="H4" s="21"/>
      <c r="I4" s="21"/>
      <c r="L4" s="2"/>
      <c r="M4" s="2"/>
      <c r="N4" s="2"/>
      <c r="O4" s="2"/>
      <c r="P4" s="2"/>
      <c r="Q4" s="2"/>
      <c r="R4" s="2"/>
      <c r="S4" s="2"/>
      <c r="T4" s="2"/>
    </row>
    <row r="5" spans="2:20" ht="12.75">
      <c r="B5" s="1"/>
      <c r="E5" s="2" t="s">
        <v>57</v>
      </c>
      <c r="G5" s="2" t="s">
        <v>58</v>
      </c>
      <c r="H5" s="2"/>
      <c r="I5" s="2" t="s">
        <v>79</v>
      </c>
      <c r="J5" s="2"/>
      <c r="L5" s="2"/>
      <c r="M5" s="2"/>
      <c r="N5" s="2"/>
      <c r="O5" s="2"/>
      <c r="P5" s="2"/>
      <c r="Q5" s="2"/>
      <c r="R5" s="2"/>
      <c r="S5" s="2"/>
      <c r="T5" s="2"/>
    </row>
    <row r="6" spans="2:20" ht="12.75">
      <c r="B6" s="1"/>
      <c r="G6" s="2"/>
      <c r="H6" s="2"/>
      <c r="I6" s="2"/>
      <c r="J6" s="2"/>
      <c r="L6" s="2"/>
      <c r="M6" s="2"/>
      <c r="N6" s="2"/>
      <c r="O6" s="2"/>
      <c r="P6" s="2"/>
      <c r="Q6" s="2"/>
      <c r="R6" s="2"/>
      <c r="S6" s="2"/>
      <c r="T6" s="2"/>
    </row>
    <row r="7" spans="2:20" ht="12.75">
      <c r="B7" t="s">
        <v>53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3:20" ht="12.75">
      <c r="C8" t="s">
        <v>70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>
        <v>400</v>
      </c>
      <c r="D9" t="s">
        <v>166</v>
      </c>
      <c r="E9" s="4">
        <v>65955</v>
      </c>
      <c r="G9" s="4">
        <v>46097</v>
      </c>
      <c r="H9" s="4"/>
      <c r="I9" s="11">
        <f>G9/E9</f>
        <v>0.6989159275263437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>
        <v>401</v>
      </c>
      <c r="D10" t="s">
        <v>167</v>
      </c>
      <c r="E10" s="4">
        <v>331508</v>
      </c>
      <c r="F10" s="4"/>
      <c r="G10" s="4">
        <v>183024.7</v>
      </c>
      <c r="H10" s="4"/>
      <c r="I10" s="11">
        <f>G10/E10</f>
        <v>0.5520973852818032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2.75">
      <c r="A11">
        <v>402</v>
      </c>
      <c r="D11" t="s">
        <v>130</v>
      </c>
      <c r="E11" s="4">
        <v>341096</v>
      </c>
      <c r="F11" s="4"/>
      <c r="G11" s="4">
        <v>198436.33</v>
      </c>
      <c r="H11" s="4"/>
      <c r="I11" s="11">
        <f>G11/E11</f>
        <v>0.581760941201304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>
      <c r="A12">
        <v>403</v>
      </c>
      <c r="D12" t="s">
        <v>54</v>
      </c>
      <c r="E12" s="4">
        <v>183888</v>
      </c>
      <c r="F12" s="4"/>
      <c r="G12" s="4">
        <v>99064.41</v>
      </c>
      <c r="H12" s="4"/>
      <c r="I12" s="11">
        <f aca="true" t="shared" si="0" ref="I12:I31">G12/E12</f>
        <v>0.5387214500130515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>
      <c r="A13">
        <v>404</v>
      </c>
      <c r="D13" t="s">
        <v>55</v>
      </c>
      <c r="E13" s="4">
        <v>114531</v>
      </c>
      <c r="F13" s="4"/>
      <c r="G13" s="4">
        <v>63133.85</v>
      </c>
      <c r="H13" s="4"/>
      <c r="I13" s="11">
        <f t="shared" si="0"/>
        <v>0.5512380927434494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>
      <c r="A14">
        <v>405</v>
      </c>
      <c r="D14" t="s">
        <v>71</v>
      </c>
      <c r="E14" s="4">
        <v>425097</v>
      </c>
      <c r="F14" s="4"/>
      <c r="G14" s="4">
        <v>330071.52</v>
      </c>
      <c r="H14" s="4"/>
      <c r="I14" s="11">
        <f t="shared" si="0"/>
        <v>0.7764616546341189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>
      <c r="A15">
        <v>410</v>
      </c>
      <c r="D15" t="s">
        <v>72</v>
      </c>
      <c r="E15" s="4">
        <v>494496</v>
      </c>
      <c r="F15" s="4"/>
      <c r="G15" s="4">
        <v>271366.49</v>
      </c>
      <c r="H15" s="4"/>
      <c r="I15" s="11">
        <f t="shared" si="0"/>
        <v>0.5487738829029961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>
        <v>413</v>
      </c>
      <c r="D16" t="s">
        <v>192</v>
      </c>
      <c r="E16" s="4">
        <v>113010</v>
      </c>
      <c r="F16" s="4"/>
      <c r="G16" s="4">
        <v>13770.1</v>
      </c>
      <c r="H16" s="4"/>
      <c r="I16" s="11">
        <f t="shared" si="0"/>
        <v>0.12184850898150607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>
        <v>415</v>
      </c>
      <c r="D17" t="s">
        <v>73</v>
      </c>
      <c r="E17" s="4">
        <v>31259</v>
      </c>
      <c r="F17" s="4"/>
      <c r="G17" s="4">
        <v>7482.71</v>
      </c>
      <c r="H17" s="4"/>
      <c r="I17" s="11">
        <f t="shared" si="0"/>
        <v>0.23937777919959052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>
      <c r="A18">
        <v>416</v>
      </c>
      <c r="D18" t="s">
        <v>74</v>
      </c>
      <c r="E18" s="4">
        <v>9851</v>
      </c>
      <c r="F18" s="4"/>
      <c r="G18" s="4">
        <v>2884.03</v>
      </c>
      <c r="H18" s="4"/>
      <c r="I18" s="11">
        <f t="shared" si="0"/>
        <v>0.29276520150238555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>
        <v>419</v>
      </c>
      <c r="D19" t="s">
        <v>176</v>
      </c>
      <c r="E19" s="4">
        <v>10527</v>
      </c>
      <c r="F19" s="4"/>
      <c r="G19" s="4">
        <v>4300.91</v>
      </c>
      <c r="H19" s="4"/>
      <c r="I19" s="11">
        <f t="shared" si="0"/>
        <v>0.4085598936069155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>
        <v>420</v>
      </c>
      <c r="D20" t="s">
        <v>129</v>
      </c>
      <c r="E20" s="4">
        <v>12065</v>
      </c>
      <c r="F20" s="4"/>
      <c r="G20" s="4">
        <v>0</v>
      </c>
      <c r="H20" s="4"/>
      <c r="I20" s="11">
        <f t="shared" si="0"/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>
        <v>421</v>
      </c>
      <c r="D21" t="s">
        <v>193</v>
      </c>
      <c r="E21" s="4">
        <v>23981</v>
      </c>
      <c r="F21" s="4"/>
      <c r="G21" s="4">
        <v>1450</v>
      </c>
      <c r="H21" s="4"/>
      <c r="I21" s="11">
        <f t="shared" si="0"/>
        <v>0.06046453442308494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>
      <c r="A22">
        <v>422</v>
      </c>
      <c r="D22" t="s">
        <v>131</v>
      </c>
      <c r="E22" s="4">
        <v>341430</v>
      </c>
      <c r="F22" s="4"/>
      <c r="G22" s="4">
        <v>163105.96</v>
      </c>
      <c r="H22" s="4"/>
      <c r="I22" s="11">
        <f t="shared" si="0"/>
        <v>0.47771420203262743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>
      <c r="A23">
        <v>424</v>
      </c>
      <c r="D23" t="s">
        <v>132</v>
      </c>
      <c r="E23" s="4">
        <v>357353</v>
      </c>
      <c r="F23" s="4"/>
      <c r="G23" s="4">
        <v>180706.02</v>
      </c>
      <c r="H23" s="4"/>
      <c r="I23" s="11">
        <f t="shared" si="0"/>
        <v>0.5056793142914708</v>
      </c>
      <c r="J23" s="4"/>
      <c r="K23" s="4"/>
      <c r="L23" s="4"/>
      <c r="M23" s="4"/>
      <c r="N23" s="4"/>
      <c r="O23" s="4"/>
      <c r="P23" s="4"/>
      <c r="Q23" s="4"/>
      <c r="S23" s="4"/>
      <c r="T23" s="4"/>
    </row>
    <row r="24" spans="1:20" ht="12.75">
      <c r="A24">
        <v>426</v>
      </c>
      <c r="D24" t="s">
        <v>133</v>
      </c>
      <c r="E24" s="4">
        <v>493993</v>
      </c>
      <c r="F24" s="4"/>
      <c r="G24" s="4">
        <v>224793.11</v>
      </c>
      <c r="H24" s="4"/>
      <c r="I24" s="11">
        <f t="shared" si="0"/>
        <v>0.4550532294992034</v>
      </c>
      <c r="J24" s="4"/>
      <c r="K24" s="4"/>
      <c r="L24" s="4"/>
      <c r="M24" s="4"/>
      <c r="N24" s="4"/>
      <c r="O24" s="4"/>
      <c r="P24" s="4"/>
      <c r="Q24" s="4"/>
      <c r="S24" s="4"/>
      <c r="T24" s="4"/>
    </row>
    <row r="25" spans="1:20" ht="12.75">
      <c r="A25">
        <v>430</v>
      </c>
      <c r="D25" t="s">
        <v>75</v>
      </c>
      <c r="E25" s="4">
        <v>213570</v>
      </c>
      <c r="F25" s="4"/>
      <c r="G25" s="4">
        <v>99467.31</v>
      </c>
      <c r="H25" s="4"/>
      <c r="I25" s="11">
        <f t="shared" si="0"/>
        <v>0.4657363393735075</v>
      </c>
      <c r="J25" s="4"/>
      <c r="K25" s="4"/>
      <c r="L25" s="4"/>
      <c r="M25" s="4"/>
      <c r="N25" s="4"/>
      <c r="O25" s="4"/>
      <c r="P25" s="4"/>
      <c r="Q25" s="4"/>
      <c r="S25" s="4"/>
      <c r="T25" s="4"/>
    </row>
    <row r="26" spans="1:20" ht="12.75">
      <c r="A26">
        <v>435</v>
      </c>
      <c r="D26" t="s">
        <v>43</v>
      </c>
      <c r="E26" s="4">
        <v>20265</v>
      </c>
      <c r="F26" s="4"/>
      <c r="G26" s="4">
        <v>11082.72</v>
      </c>
      <c r="H26" s="4"/>
      <c r="I26" s="11">
        <f t="shared" si="0"/>
        <v>0.5468897113249445</v>
      </c>
      <c r="J26" s="4"/>
      <c r="K26" s="4"/>
      <c r="L26" s="4"/>
      <c r="M26" s="4"/>
      <c r="N26" s="4"/>
      <c r="O26" s="4"/>
      <c r="P26" s="4"/>
      <c r="Q26" s="4"/>
      <c r="S26" s="4"/>
      <c r="T26" s="4"/>
    </row>
    <row r="27" spans="1:20" ht="12.75">
      <c r="A27">
        <v>450</v>
      </c>
      <c r="D27" t="s">
        <v>134</v>
      </c>
      <c r="E27" s="4">
        <v>396604</v>
      </c>
      <c r="F27" s="4"/>
      <c r="G27" s="4">
        <v>73001.5</v>
      </c>
      <c r="H27" s="4"/>
      <c r="I27" s="11">
        <f t="shared" si="0"/>
        <v>0.18406647436737905</v>
      </c>
      <c r="J27" s="4"/>
      <c r="K27" s="4"/>
      <c r="L27" s="4"/>
      <c r="M27" s="4"/>
      <c r="N27" s="4"/>
      <c r="O27" s="4"/>
      <c r="P27" s="4"/>
      <c r="Q27" s="4"/>
      <c r="S27" s="4"/>
      <c r="T27" s="4"/>
    </row>
    <row r="28" spans="1:20" ht="12.75">
      <c r="A28">
        <v>451</v>
      </c>
      <c r="D28" t="s">
        <v>76</v>
      </c>
      <c r="E28" s="4">
        <v>753109</v>
      </c>
      <c r="F28" s="4"/>
      <c r="G28" s="4">
        <v>274355.69</v>
      </c>
      <c r="H28" s="4"/>
      <c r="I28" s="11">
        <f t="shared" si="0"/>
        <v>0.3642974522944222</v>
      </c>
      <c r="J28" s="4"/>
      <c r="K28" s="4"/>
      <c r="L28" s="4"/>
      <c r="M28" s="4"/>
      <c r="N28" s="4"/>
      <c r="O28" s="4"/>
      <c r="P28" s="4"/>
      <c r="Q28" s="4"/>
      <c r="S28" s="4"/>
      <c r="T28" s="4"/>
    </row>
    <row r="29" spans="1:20" ht="12.75">
      <c r="A29">
        <v>454</v>
      </c>
      <c r="D29" t="s">
        <v>135</v>
      </c>
      <c r="E29" s="4">
        <v>31979</v>
      </c>
      <c r="F29" s="4"/>
      <c r="G29" s="4">
        <v>31979</v>
      </c>
      <c r="H29" s="4"/>
      <c r="I29" s="11">
        <f t="shared" si="0"/>
        <v>1</v>
      </c>
      <c r="J29" s="4"/>
      <c r="K29" s="4"/>
      <c r="L29" s="4"/>
      <c r="M29" s="4"/>
      <c r="N29" s="4"/>
      <c r="O29" s="4"/>
      <c r="P29" s="4"/>
      <c r="Q29" s="4"/>
      <c r="S29" s="4"/>
      <c r="T29" s="4"/>
    </row>
    <row r="30" spans="5:20" ht="12.75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4:20" ht="12.75">
      <c r="D31" t="s">
        <v>56</v>
      </c>
      <c r="E31" s="5">
        <f>SUM(E9:E30)</f>
        <v>4765567</v>
      </c>
      <c r="F31" s="4"/>
      <c r="G31" s="5">
        <f>SUM(G9:G30)</f>
        <v>2279573.3600000003</v>
      </c>
      <c r="H31" s="4"/>
      <c r="I31" s="22">
        <f t="shared" si="0"/>
        <v>0.47834252671298094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5:7" ht="12.75">
      <c r="E32" s="4"/>
      <c r="F32" s="4"/>
      <c r="G32" s="4"/>
    </row>
    <row r="33" spans="2:7" ht="12.75">
      <c r="B33" t="s">
        <v>77</v>
      </c>
      <c r="E33" s="4"/>
      <c r="F33" s="4"/>
      <c r="G33" s="4"/>
    </row>
    <row r="34" spans="3:9" ht="12.75">
      <c r="C34" t="s">
        <v>168</v>
      </c>
      <c r="E34" s="18"/>
      <c r="F34" s="4"/>
      <c r="G34" s="18">
        <v>0</v>
      </c>
      <c r="I34" s="44" t="s">
        <v>61</v>
      </c>
    </row>
    <row r="35" spans="5:7" ht="12.75">
      <c r="E35" s="4"/>
      <c r="F35" s="4"/>
      <c r="G35" s="4"/>
    </row>
    <row r="36" spans="3:9" ht="13.5" thickBot="1">
      <c r="C36" t="s">
        <v>78</v>
      </c>
      <c r="E36" s="10">
        <f>E31+E34</f>
        <v>4765567</v>
      </c>
      <c r="F36" s="4"/>
      <c r="G36" s="10">
        <f>G31+G34</f>
        <v>2279573.3600000003</v>
      </c>
      <c r="I36" s="15">
        <f>G36/E36</f>
        <v>0.47834252671298094</v>
      </c>
    </row>
    <row r="37" spans="5:7" ht="13.5" thickTop="1">
      <c r="E37" s="4"/>
      <c r="F37" s="4"/>
      <c r="G37" s="4"/>
    </row>
  </sheetData>
  <sheetProtection/>
  <mergeCells count="3">
    <mergeCell ref="B1:I1"/>
    <mergeCell ref="B2:I2"/>
    <mergeCell ref="B3:I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1" width="5.7109375" style="0" customWidth="1"/>
    <col min="2" max="2" width="3.28125" style="0" customWidth="1"/>
    <col min="3" max="3" width="3.421875" style="0" customWidth="1"/>
    <col min="4" max="4" width="32.57421875" style="0" customWidth="1"/>
    <col min="5" max="5" width="13.7109375" style="0" customWidth="1"/>
    <col min="6" max="6" width="3.140625" style="0" customWidth="1"/>
    <col min="7" max="7" width="14.00390625" style="0" customWidth="1"/>
    <col min="8" max="8" width="2.7109375" style="0" customWidth="1"/>
  </cols>
  <sheetData>
    <row r="1" spans="2:9" ht="12.75">
      <c r="B1" s="45" t="s">
        <v>197</v>
      </c>
      <c r="C1" s="45"/>
      <c r="D1" s="45"/>
      <c r="E1" s="45"/>
      <c r="F1" s="45"/>
      <c r="G1" s="45"/>
      <c r="H1" s="45"/>
      <c r="I1" s="45"/>
    </row>
    <row r="2" spans="2:9" ht="12.75">
      <c r="B2" s="45" t="s">
        <v>173</v>
      </c>
      <c r="C2" s="45"/>
      <c r="D2" s="45"/>
      <c r="E2" s="45"/>
      <c r="F2" s="45"/>
      <c r="G2" s="45"/>
      <c r="H2" s="45"/>
      <c r="I2" s="45"/>
    </row>
    <row r="3" spans="2:9" ht="12.75">
      <c r="B3" s="46" t="s">
        <v>196</v>
      </c>
      <c r="C3" s="46"/>
      <c r="D3" s="46"/>
      <c r="E3" s="46"/>
      <c r="F3" s="46"/>
      <c r="G3" s="46"/>
      <c r="H3" s="46"/>
      <c r="I3" s="46"/>
    </row>
    <row r="4" spans="2:9" ht="12.75">
      <c r="B4" s="17"/>
      <c r="C4" s="17"/>
      <c r="D4" s="17"/>
      <c r="E4" s="17"/>
      <c r="F4" s="17"/>
      <c r="G4" s="17"/>
      <c r="H4" s="17"/>
      <c r="I4" s="17"/>
    </row>
    <row r="5" spans="2:9" ht="12.75">
      <c r="B5" s="1"/>
      <c r="E5" s="2" t="s">
        <v>57</v>
      </c>
      <c r="G5" s="2" t="s">
        <v>58</v>
      </c>
      <c r="H5" s="2"/>
      <c r="I5" s="2" t="s">
        <v>79</v>
      </c>
    </row>
    <row r="6" spans="2:9" ht="12.75">
      <c r="B6" s="1"/>
      <c r="G6" s="2"/>
      <c r="H6" s="2"/>
      <c r="I6" s="2"/>
    </row>
    <row r="7" spans="2:9" ht="12.75">
      <c r="B7" t="s">
        <v>53</v>
      </c>
      <c r="G7" s="4"/>
      <c r="H7" s="4"/>
      <c r="I7" s="4"/>
    </row>
    <row r="8" spans="3:9" ht="12.75">
      <c r="C8" t="s">
        <v>70</v>
      </c>
      <c r="G8" s="4"/>
      <c r="H8" s="4"/>
      <c r="I8" s="4"/>
    </row>
    <row r="9" spans="1:9" ht="12.75">
      <c r="A9">
        <v>11</v>
      </c>
      <c r="D9" t="s">
        <v>84</v>
      </c>
      <c r="E9" s="4">
        <v>513233</v>
      </c>
      <c r="F9" s="4"/>
      <c r="G9" s="4">
        <v>244899.57</v>
      </c>
      <c r="H9" s="4"/>
      <c r="I9" s="11">
        <f aca="true" t="shared" si="0" ref="I9:I21">G9/E9</f>
        <v>0.47717034952935605</v>
      </c>
    </row>
    <row r="10" spans="1:9" ht="12.75">
      <c r="A10">
        <v>15</v>
      </c>
      <c r="D10" t="s">
        <v>136</v>
      </c>
      <c r="E10" s="4">
        <v>66160</v>
      </c>
      <c r="F10" s="4"/>
      <c r="G10" s="4">
        <v>32048.7</v>
      </c>
      <c r="H10" s="4"/>
      <c r="I10" s="11">
        <f t="shared" si="0"/>
        <v>0.4844120314389359</v>
      </c>
    </row>
    <row r="11" spans="1:9" ht="12.75">
      <c r="A11">
        <v>21</v>
      </c>
      <c r="D11" t="s">
        <v>80</v>
      </c>
      <c r="E11" s="4">
        <v>747631</v>
      </c>
      <c r="F11" s="4"/>
      <c r="G11" s="4">
        <v>377329.82</v>
      </c>
      <c r="H11" s="4"/>
      <c r="I11" s="11">
        <f t="shared" si="0"/>
        <v>0.5047006076527056</v>
      </c>
    </row>
    <row r="12" spans="1:9" ht="12.75">
      <c r="A12">
        <v>31</v>
      </c>
      <c r="D12" t="s">
        <v>81</v>
      </c>
      <c r="E12" s="4">
        <v>1083914</v>
      </c>
      <c r="F12" s="4"/>
      <c r="G12" s="4">
        <v>554320.71</v>
      </c>
      <c r="H12" s="4"/>
      <c r="I12" s="11">
        <f t="shared" si="0"/>
        <v>0.5114065414783829</v>
      </c>
    </row>
    <row r="13" spans="1:9" ht="12.75">
      <c r="A13">
        <v>34</v>
      </c>
      <c r="D13" t="s">
        <v>137</v>
      </c>
      <c r="E13" s="4">
        <v>104143</v>
      </c>
      <c r="F13" s="4"/>
      <c r="G13" s="4">
        <v>54632.01</v>
      </c>
      <c r="H13" s="4"/>
      <c r="I13" s="11">
        <f t="shared" si="0"/>
        <v>0.5245864820487215</v>
      </c>
    </row>
    <row r="14" spans="1:9" ht="12.75">
      <c r="A14">
        <v>41</v>
      </c>
      <c r="D14" t="s">
        <v>82</v>
      </c>
      <c r="E14" s="4">
        <v>602642</v>
      </c>
      <c r="F14" s="4"/>
      <c r="G14" s="4">
        <v>300667.43</v>
      </c>
      <c r="H14" s="4"/>
      <c r="I14" s="11">
        <f t="shared" si="0"/>
        <v>0.49891549211638087</v>
      </c>
    </row>
    <row r="15" spans="1:9" ht="12.75">
      <c r="A15">
        <v>64</v>
      </c>
      <c r="D15" t="s">
        <v>138</v>
      </c>
      <c r="E15" s="4">
        <v>85934</v>
      </c>
      <c r="F15" s="4"/>
      <c r="G15" s="4">
        <v>42150.24</v>
      </c>
      <c r="H15" s="4"/>
      <c r="I15" s="11">
        <f t="shared" si="0"/>
        <v>0.4904954965438592</v>
      </c>
    </row>
    <row r="16" spans="1:9" ht="12.75">
      <c r="A16">
        <v>65</v>
      </c>
      <c r="D16" t="s">
        <v>85</v>
      </c>
      <c r="E16" s="4">
        <v>101337</v>
      </c>
      <c r="F16" s="4"/>
      <c r="G16" s="4">
        <v>49641.59</v>
      </c>
      <c r="H16" s="4"/>
      <c r="I16" s="11">
        <f t="shared" si="0"/>
        <v>0.4898663864136495</v>
      </c>
    </row>
    <row r="17" spans="1:9" ht="12.75">
      <c r="A17">
        <v>66</v>
      </c>
      <c r="D17" t="s">
        <v>86</v>
      </c>
      <c r="E17" s="4">
        <v>93210</v>
      </c>
      <c r="F17" s="4"/>
      <c r="G17" s="4">
        <v>43848.19</v>
      </c>
      <c r="H17" s="4"/>
      <c r="I17" s="11">
        <f t="shared" si="0"/>
        <v>0.47042366698852056</v>
      </c>
    </row>
    <row r="18" spans="1:9" ht="12.75">
      <c r="A18">
        <v>75</v>
      </c>
      <c r="D18" t="s">
        <v>139</v>
      </c>
      <c r="E18" s="4">
        <v>94586</v>
      </c>
      <c r="F18" s="4"/>
      <c r="G18" s="4">
        <v>46353.68</v>
      </c>
      <c r="H18" s="4"/>
      <c r="I18" s="11">
        <f t="shared" si="0"/>
        <v>0.4900691434250312</v>
      </c>
    </row>
    <row r="19" spans="1:9" ht="12.75">
      <c r="A19">
        <v>79</v>
      </c>
      <c r="D19" t="s">
        <v>140</v>
      </c>
      <c r="E19" s="4">
        <v>137525</v>
      </c>
      <c r="F19" s="4"/>
      <c r="G19" s="4">
        <v>67066.69</v>
      </c>
      <c r="H19" s="4"/>
      <c r="I19" s="11">
        <f t="shared" si="0"/>
        <v>0.48766907834939105</v>
      </c>
    </row>
    <row r="20" spans="1:9" ht="12.75">
      <c r="A20">
        <v>81</v>
      </c>
      <c r="D20" t="s">
        <v>141</v>
      </c>
      <c r="E20" s="4">
        <v>251788</v>
      </c>
      <c r="F20" s="4"/>
      <c r="G20" s="4">
        <v>139020.68</v>
      </c>
      <c r="H20" s="4"/>
      <c r="I20" s="11">
        <f t="shared" si="0"/>
        <v>0.5521338586429854</v>
      </c>
    </row>
    <row r="21" spans="1:9" ht="12.75">
      <c r="A21">
        <v>82</v>
      </c>
      <c r="D21" t="s">
        <v>142</v>
      </c>
      <c r="E21" s="4">
        <v>245024</v>
      </c>
      <c r="F21" s="4"/>
      <c r="G21" s="4">
        <v>115303.74</v>
      </c>
      <c r="H21" s="4"/>
      <c r="I21" s="11">
        <f t="shared" si="0"/>
        <v>0.4705814124330678</v>
      </c>
    </row>
    <row r="22" spans="1:9" ht="12.75">
      <c r="A22">
        <v>83</v>
      </c>
      <c r="D22" t="s">
        <v>143</v>
      </c>
      <c r="E22" s="4">
        <v>124798</v>
      </c>
      <c r="F22" s="4"/>
      <c r="G22" s="4">
        <v>65529.25</v>
      </c>
      <c r="H22" s="4"/>
      <c r="I22" s="11">
        <f aca="true" t="shared" si="1" ref="I22:I35">G22/E22</f>
        <v>0.5250825333739323</v>
      </c>
    </row>
    <row r="23" spans="1:9" ht="12.75">
      <c r="A23">
        <v>84</v>
      </c>
      <c r="D23" t="s">
        <v>144</v>
      </c>
      <c r="E23" s="4">
        <v>95263</v>
      </c>
      <c r="F23" s="4"/>
      <c r="G23" s="4">
        <v>46361.08</v>
      </c>
      <c r="H23" s="4"/>
      <c r="I23" s="11">
        <f t="shared" si="1"/>
        <v>0.48666407734377465</v>
      </c>
    </row>
    <row r="24" spans="1:9" ht="12.75">
      <c r="A24">
        <v>85</v>
      </c>
      <c r="D24" t="s">
        <v>145</v>
      </c>
      <c r="E24" s="4">
        <v>37243</v>
      </c>
      <c r="F24" s="4"/>
      <c r="G24" s="4">
        <v>19603.09</v>
      </c>
      <c r="H24" s="4"/>
      <c r="I24" s="11">
        <f t="shared" si="1"/>
        <v>0.5263563622694197</v>
      </c>
    </row>
    <row r="25" spans="1:9" ht="12.75">
      <c r="A25">
        <v>86</v>
      </c>
      <c r="D25" t="s">
        <v>146</v>
      </c>
      <c r="E25" s="4">
        <v>124216</v>
      </c>
      <c r="F25" s="4"/>
      <c r="G25" s="4">
        <v>60062.41</v>
      </c>
      <c r="H25" s="4"/>
      <c r="I25" s="11">
        <f t="shared" si="1"/>
        <v>0.4835319926579507</v>
      </c>
    </row>
    <row r="26" spans="1:9" ht="12.75">
      <c r="A26">
        <v>99</v>
      </c>
      <c r="D26" t="s">
        <v>147</v>
      </c>
      <c r="E26" s="4">
        <v>6000</v>
      </c>
      <c r="F26" s="4"/>
      <c r="G26" s="4">
        <v>1341.2</v>
      </c>
      <c r="H26" s="4"/>
      <c r="I26" s="11">
        <f t="shared" si="1"/>
        <v>0.22353333333333333</v>
      </c>
    </row>
    <row r="27" spans="1:9" ht="12.75">
      <c r="A27">
        <v>120</v>
      </c>
      <c r="D27" t="s">
        <v>148</v>
      </c>
      <c r="E27" s="4">
        <v>889276</v>
      </c>
      <c r="F27" s="4"/>
      <c r="G27" s="4">
        <v>429266.2</v>
      </c>
      <c r="H27" s="4"/>
      <c r="I27" s="11">
        <f t="shared" si="1"/>
        <v>0.4827142529428434</v>
      </c>
    </row>
    <row r="28" spans="1:9" ht="12.75">
      <c r="A28">
        <v>130</v>
      </c>
      <c r="D28" t="s">
        <v>149</v>
      </c>
      <c r="E28" s="4">
        <v>445593</v>
      </c>
      <c r="F28" s="4"/>
      <c r="G28" s="4">
        <v>239056.8</v>
      </c>
      <c r="H28" s="4"/>
      <c r="I28" s="11">
        <f t="shared" si="1"/>
        <v>0.5364913721714658</v>
      </c>
    </row>
    <row r="29" spans="1:9" ht="12.75">
      <c r="A29">
        <v>150</v>
      </c>
      <c r="D29" t="s">
        <v>150</v>
      </c>
      <c r="E29" s="4">
        <v>23816</v>
      </c>
      <c r="F29" s="4"/>
      <c r="G29" s="4">
        <v>6966.35</v>
      </c>
      <c r="H29" s="4"/>
      <c r="I29" s="11">
        <f t="shared" si="1"/>
        <v>0.29250713805844814</v>
      </c>
    </row>
    <row r="30" spans="1:9" ht="12.75">
      <c r="A30">
        <v>191</v>
      </c>
      <c r="D30" t="s">
        <v>83</v>
      </c>
      <c r="E30" s="4">
        <v>487006</v>
      </c>
      <c r="F30" s="4"/>
      <c r="G30" s="4">
        <v>222406.59</v>
      </c>
      <c r="H30" s="4"/>
      <c r="I30" s="11">
        <f t="shared" si="1"/>
        <v>0.4566814166560576</v>
      </c>
    </row>
    <row r="31" spans="1:9" ht="12.75">
      <c r="A31">
        <v>286</v>
      </c>
      <c r="D31" t="s">
        <v>151</v>
      </c>
      <c r="E31" s="4">
        <v>2246</v>
      </c>
      <c r="F31" s="4"/>
      <c r="G31" s="4">
        <v>120</v>
      </c>
      <c r="H31" s="4"/>
      <c r="I31" s="11">
        <f t="shared" si="1"/>
        <v>0.053428317008014245</v>
      </c>
    </row>
    <row r="32" spans="1:9" ht="12.75">
      <c r="A32">
        <v>360</v>
      </c>
      <c r="D32" t="s">
        <v>87</v>
      </c>
      <c r="E32" s="24">
        <f>806027-440776</f>
        <v>365251</v>
      </c>
      <c r="F32" s="4"/>
      <c r="G32" s="24">
        <f>180789.82-G33</f>
        <v>64657.57000000001</v>
      </c>
      <c r="H32" s="4"/>
      <c r="I32" s="25">
        <f t="shared" si="1"/>
        <v>0.1770222942579213</v>
      </c>
    </row>
    <row r="33" spans="1:9" ht="12.75">
      <c r="A33">
        <v>360</v>
      </c>
      <c r="D33" t="s">
        <v>88</v>
      </c>
      <c r="E33" s="18">
        <f>90237+34128+125278+136082+54871+180</f>
        <v>440776</v>
      </c>
      <c r="F33" s="4"/>
      <c r="G33" s="18">
        <f>40438.03+19001.46+20163.06+27739.84+8789.86</f>
        <v>116132.25</v>
      </c>
      <c r="H33" s="4"/>
      <c r="I33" s="23">
        <f t="shared" si="1"/>
        <v>0.26347226255513007</v>
      </c>
    </row>
    <row r="34" spans="5:9" ht="12.75">
      <c r="E34" s="4"/>
      <c r="F34" s="4"/>
      <c r="G34" s="4"/>
      <c r="H34" s="4"/>
      <c r="I34" s="4"/>
    </row>
    <row r="35" spans="4:9" ht="13.5" thickBot="1">
      <c r="D35" t="s">
        <v>56</v>
      </c>
      <c r="E35" s="10">
        <f>SUM(E9:E33)</f>
        <v>7168611</v>
      </c>
      <c r="F35" s="4"/>
      <c r="G35" s="10">
        <f>SUM(G9:G34)</f>
        <v>3338785.84</v>
      </c>
      <c r="H35" s="4"/>
      <c r="I35" s="15">
        <f t="shared" si="1"/>
        <v>0.46575073469602407</v>
      </c>
    </row>
    <row r="36" spans="5:7" ht="13.5" thickTop="1">
      <c r="E36" s="4"/>
      <c r="F36" s="4"/>
      <c r="G36" s="4"/>
    </row>
    <row r="37" spans="5:7" ht="12.75">
      <c r="E37" s="4"/>
      <c r="F37" s="4"/>
      <c r="G37" s="4"/>
    </row>
    <row r="38" spans="5:7" ht="12.75">
      <c r="E38" s="4"/>
      <c r="F38" s="4"/>
      <c r="G38" s="4"/>
    </row>
  </sheetData>
  <sheetProtection/>
  <mergeCells count="3">
    <mergeCell ref="B1:I1"/>
    <mergeCell ref="B2:I2"/>
    <mergeCell ref="B3:I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32.57421875" style="0" customWidth="1"/>
    <col min="4" max="4" width="13.7109375" style="4" customWidth="1"/>
    <col min="5" max="5" width="3.140625" style="0" customWidth="1"/>
    <col min="6" max="6" width="14.00390625" style="4" customWidth="1"/>
    <col min="7" max="7" width="2.7109375" style="0" customWidth="1"/>
  </cols>
  <sheetData>
    <row r="1" spans="1:8" ht="12.75">
      <c r="A1" s="45" t="s">
        <v>197</v>
      </c>
      <c r="B1" s="45"/>
      <c r="C1" s="45"/>
      <c r="D1" s="45"/>
      <c r="E1" s="45"/>
      <c r="F1" s="45"/>
      <c r="G1" s="45"/>
      <c r="H1" s="45"/>
    </row>
    <row r="2" spans="1:8" ht="12.75">
      <c r="A2" s="45" t="s">
        <v>89</v>
      </c>
      <c r="B2" s="45"/>
      <c r="C2" s="45"/>
      <c r="D2" s="45"/>
      <c r="E2" s="45"/>
      <c r="F2" s="45"/>
      <c r="G2" s="45"/>
      <c r="H2" s="45"/>
    </row>
    <row r="3" spans="1:8" ht="12.75">
      <c r="A3" s="45" t="s">
        <v>174</v>
      </c>
      <c r="B3" s="45"/>
      <c r="C3" s="45"/>
      <c r="D3" s="45"/>
      <c r="E3" s="45"/>
      <c r="F3" s="45"/>
      <c r="G3" s="45"/>
      <c r="H3" s="45"/>
    </row>
    <row r="4" spans="1:8" ht="12.75">
      <c r="A4" s="46" t="str">
        <f>'GF Revenue'!A3:H3</f>
        <v>July 1, 2005 through January 31, 2006</v>
      </c>
      <c r="B4" s="46"/>
      <c r="C4" s="46"/>
      <c r="D4" s="46"/>
      <c r="E4" s="46"/>
      <c r="F4" s="46"/>
      <c r="G4" s="46"/>
      <c r="H4" s="46"/>
    </row>
    <row r="5" spans="1:8" ht="12.75">
      <c r="A5" s="17"/>
      <c r="B5" s="17"/>
      <c r="C5" s="17"/>
      <c r="D5" s="12"/>
      <c r="E5" s="17"/>
      <c r="F5" s="12"/>
      <c r="G5" s="17"/>
      <c r="H5" s="17"/>
    </row>
    <row r="6" spans="1:8" ht="12.75">
      <c r="A6" s="1"/>
      <c r="D6" s="12" t="s">
        <v>57</v>
      </c>
      <c r="F6" s="12" t="s">
        <v>58</v>
      </c>
      <c r="G6" s="2"/>
      <c r="H6" s="2" t="s">
        <v>79</v>
      </c>
    </row>
    <row r="7" spans="1:8" ht="12.75">
      <c r="A7" s="1" t="s">
        <v>29</v>
      </c>
      <c r="D7" s="12"/>
      <c r="F7" s="12"/>
      <c r="G7" s="2"/>
      <c r="H7" s="2"/>
    </row>
    <row r="8" spans="1:8" ht="12.75">
      <c r="A8" s="1"/>
      <c r="B8" t="s">
        <v>90</v>
      </c>
      <c r="D8" s="33">
        <v>6300</v>
      </c>
      <c r="E8" s="26"/>
      <c r="F8" s="33">
        <v>3721.43</v>
      </c>
      <c r="G8" s="2"/>
      <c r="H8" s="11">
        <f aca="true" t="shared" si="0" ref="H8:H15">F8/D8</f>
        <v>0.5907031746031746</v>
      </c>
    </row>
    <row r="9" spans="1:8" ht="12.75">
      <c r="A9" s="1"/>
      <c r="B9" t="s">
        <v>91</v>
      </c>
      <c r="D9" s="33">
        <v>3150</v>
      </c>
      <c r="E9" s="26"/>
      <c r="F9" s="33">
        <v>816.5</v>
      </c>
      <c r="G9" s="2"/>
      <c r="H9" s="11">
        <f t="shared" si="0"/>
        <v>0.2592063492063492</v>
      </c>
    </row>
    <row r="10" spans="1:8" ht="12.75">
      <c r="A10" s="1"/>
      <c r="B10" t="s">
        <v>152</v>
      </c>
      <c r="D10" s="33">
        <v>5520</v>
      </c>
      <c r="E10" s="26"/>
      <c r="F10" s="33">
        <v>1918</v>
      </c>
      <c r="G10" s="2"/>
      <c r="H10" s="11">
        <f t="shared" si="0"/>
        <v>0.34746376811594204</v>
      </c>
    </row>
    <row r="11" spans="1:8" ht="12.75">
      <c r="A11" s="1"/>
      <c r="B11" t="s">
        <v>94</v>
      </c>
      <c r="D11" s="33">
        <f>200+7923+500</f>
        <v>8623</v>
      </c>
      <c r="E11" s="26"/>
      <c r="F11" s="33">
        <v>7923.34</v>
      </c>
      <c r="G11" s="2"/>
      <c r="H11" s="11">
        <f t="shared" si="0"/>
        <v>0.9188611852023658</v>
      </c>
    </row>
    <row r="12" spans="1:8" ht="12.75">
      <c r="A12" s="1"/>
      <c r="B12" t="s">
        <v>92</v>
      </c>
      <c r="D12" s="33">
        <f>4000</f>
        <v>4000</v>
      </c>
      <c r="E12" s="26"/>
      <c r="F12" s="33">
        <v>3571.04</v>
      </c>
      <c r="G12" s="2"/>
      <c r="H12" s="11">
        <f t="shared" si="0"/>
        <v>0.89276</v>
      </c>
    </row>
    <row r="13" spans="1:8" ht="12.75">
      <c r="A13" s="1"/>
      <c r="B13" t="s">
        <v>93</v>
      </c>
      <c r="D13" s="33">
        <v>34300</v>
      </c>
      <c r="E13" s="26"/>
      <c r="F13" s="33">
        <v>10474.31</v>
      </c>
      <c r="G13" s="2"/>
      <c r="H13" s="11">
        <f t="shared" si="0"/>
        <v>0.3053734693877551</v>
      </c>
    </row>
    <row r="14" spans="1:8" ht="12.75">
      <c r="A14" s="1"/>
      <c r="B14" t="s">
        <v>95</v>
      </c>
      <c r="D14" s="34">
        <f>1850+550</f>
        <v>2400</v>
      </c>
      <c r="E14" s="26"/>
      <c r="F14" s="34">
        <v>0</v>
      </c>
      <c r="G14" s="2"/>
      <c r="H14" s="23">
        <f t="shared" si="0"/>
        <v>0</v>
      </c>
    </row>
    <row r="15" spans="1:8" ht="12.75">
      <c r="A15" s="1"/>
      <c r="D15" s="35">
        <f>SUM(D8:D14)</f>
        <v>64293</v>
      </c>
      <c r="E15" s="26"/>
      <c r="F15" s="35">
        <f>SUM(F8:F14)</f>
        <v>28424.620000000003</v>
      </c>
      <c r="G15" s="2"/>
      <c r="H15" s="27">
        <f t="shared" si="0"/>
        <v>0.442110649681925</v>
      </c>
    </row>
    <row r="16" spans="1:8" ht="12.75">
      <c r="A16" t="s">
        <v>53</v>
      </c>
      <c r="G16" s="4"/>
      <c r="H16" s="4"/>
    </row>
    <row r="17" spans="2:8" ht="12.75">
      <c r="B17" t="s">
        <v>96</v>
      </c>
      <c r="D17" s="37">
        <v>16899</v>
      </c>
      <c r="F17" s="4">
        <v>6901</v>
      </c>
      <c r="G17" s="4"/>
      <c r="H17" s="11">
        <f>F17/D17</f>
        <v>0.40836735901532634</v>
      </c>
    </row>
    <row r="18" spans="2:8" ht="12.75">
      <c r="B18" t="s">
        <v>97</v>
      </c>
      <c r="D18" s="4">
        <v>6000</v>
      </c>
      <c r="E18" s="4"/>
      <c r="F18" s="4">
        <v>1032.58</v>
      </c>
      <c r="G18" s="4"/>
      <c r="H18" s="11">
        <f>F18/D18</f>
        <v>0.17209666666666665</v>
      </c>
    </row>
    <row r="19" spans="2:8" ht="12.75">
      <c r="B19" t="s">
        <v>98</v>
      </c>
      <c r="D19" s="4">
        <v>760</v>
      </c>
      <c r="E19" s="4"/>
      <c r="F19" s="4">
        <v>550.41</v>
      </c>
      <c r="G19" s="4"/>
      <c r="H19" s="11">
        <f aca="true" t="shared" si="1" ref="H19:H42">F19/D19</f>
        <v>0.7242236842105263</v>
      </c>
    </row>
    <row r="20" spans="2:8" ht="12.75">
      <c r="B20" t="s">
        <v>99</v>
      </c>
      <c r="D20" s="4">
        <v>65</v>
      </c>
      <c r="E20" s="4"/>
      <c r="F20" s="4">
        <v>31.98</v>
      </c>
      <c r="G20" s="4"/>
      <c r="H20" s="11">
        <f t="shared" si="1"/>
        <v>0.492</v>
      </c>
    </row>
    <row r="21" spans="2:8" ht="12.75">
      <c r="B21" t="s">
        <v>194</v>
      </c>
      <c r="D21" s="4">
        <v>70</v>
      </c>
      <c r="E21" s="4"/>
      <c r="G21" s="4"/>
      <c r="H21" s="11">
        <f t="shared" si="1"/>
        <v>0</v>
      </c>
    </row>
    <row r="22" spans="2:8" ht="12.75">
      <c r="B22" t="s">
        <v>100</v>
      </c>
      <c r="D22" s="4">
        <v>2848</v>
      </c>
      <c r="E22" s="4"/>
      <c r="F22" s="4">
        <v>1185.89</v>
      </c>
      <c r="G22" s="4"/>
      <c r="H22" s="11">
        <f t="shared" si="1"/>
        <v>0.41639396067415735</v>
      </c>
    </row>
    <row r="23" spans="2:8" ht="12.75">
      <c r="B23" t="s">
        <v>101</v>
      </c>
      <c r="D23" s="4">
        <v>1981</v>
      </c>
      <c r="E23" s="4"/>
      <c r="F23" s="4">
        <v>717.32</v>
      </c>
      <c r="G23" s="4"/>
      <c r="H23" s="11">
        <f t="shared" si="1"/>
        <v>0.3620999495204442</v>
      </c>
    </row>
    <row r="24" spans="2:8" ht="12.75">
      <c r="B24" t="s">
        <v>102</v>
      </c>
      <c r="D24" s="4">
        <v>320</v>
      </c>
      <c r="E24" s="4"/>
      <c r="F24" s="4">
        <v>0</v>
      </c>
      <c r="G24" s="4"/>
      <c r="H24" s="11">
        <f t="shared" si="1"/>
        <v>0</v>
      </c>
    </row>
    <row r="25" spans="2:8" ht="12.75">
      <c r="B25" t="s">
        <v>103</v>
      </c>
      <c r="D25" s="4">
        <v>2231</v>
      </c>
      <c r="E25" s="4"/>
      <c r="F25" s="4">
        <v>892.24</v>
      </c>
      <c r="G25" s="4"/>
      <c r="H25" s="11">
        <f t="shared" si="1"/>
        <v>0.3999282832810399</v>
      </c>
    </row>
    <row r="26" spans="2:8" ht="12.75">
      <c r="B26" t="s">
        <v>104</v>
      </c>
      <c r="D26" s="4">
        <v>450</v>
      </c>
      <c r="E26" s="4"/>
      <c r="F26" s="4">
        <v>450</v>
      </c>
      <c r="G26" s="4"/>
      <c r="H26" s="11">
        <f t="shared" si="1"/>
        <v>1</v>
      </c>
    </row>
    <row r="27" spans="2:8" ht="12.75">
      <c r="B27" t="s">
        <v>105</v>
      </c>
      <c r="D27" s="4">
        <v>200</v>
      </c>
      <c r="E27" s="4"/>
      <c r="G27" s="4"/>
      <c r="H27" s="11">
        <f t="shared" si="1"/>
        <v>0</v>
      </c>
    </row>
    <row r="28" spans="2:8" ht="12.75">
      <c r="B28" t="s">
        <v>106</v>
      </c>
      <c r="D28" s="4">
        <v>250</v>
      </c>
      <c r="E28" s="4"/>
      <c r="F28" s="4">
        <v>0</v>
      </c>
      <c r="G28" s="4"/>
      <c r="H28" s="11">
        <f t="shared" si="1"/>
        <v>0</v>
      </c>
    </row>
    <row r="29" spans="2:8" ht="12.75">
      <c r="B29" t="s">
        <v>107</v>
      </c>
      <c r="D29" s="4">
        <v>100</v>
      </c>
      <c r="E29" s="4"/>
      <c r="F29" s="4">
        <v>56</v>
      </c>
      <c r="G29" s="4"/>
      <c r="H29" s="11">
        <f t="shared" si="1"/>
        <v>0.56</v>
      </c>
    </row>
    <row r="30" spans="2:8" ht="12.75">
      <c r="B30" t="s">
        <v>116</v>
      </c>
      <c r="D30" s="4">
        <v>1000</v>
      </c>
      <c r="E30" s="4"/>
      <c r="F30" s="4">
        <v>759.27</v>
      </c>
      <c r="G30" s="4"/>
      <c r="H30" s="11">
        <f t="shared" si="1"/>
        <v>0.75927</v>
      </c>
    </row>
    <row r="31" spans="2:8" ht="12.75">
      <c r="B31" t="s">
        <v>108</v>
      </c>
      <c r="D31" s="4">
        <v>19000</v>
      </c>
      <c r="E31" s="4"/>
      <c r="F31" s="4">
        <v>6820.45</v>
      </c>
      <c r="G31" s="4"/>
      <c r="H31" s="11">
        <f t="shared" si="1"/>
        <v>0.3589710526315789</v>
      </c>
    </row>
    <row r="32" spans="2:8" ht="12.75">
      <c r="B32" t="s">
        <v>109</v>
      </c>
      <c r="D32" s="4">
        <v>2000</v>
      </c>
      <c r="E32" s="4"/>
      <c r="F32" s="4">
        <v>407.87</v>
      </c>
      <c r="G32" s="4"/>
      <c r="H32" s="11">
        <f t="shared" si="1"/>
        <v>0.203935</v>
      </c>
    </row>
    <row r="33" spans="2:8" ht="12.75">
      <c r="B33" t="s">
        <v>157</v>
      </c>
      <c r="D33" s="4">
        <v>2650</v>
      </c>
      <c r="E33" s="4"/>
      <c r="F33" s="4">
        <v>1638.77</v>
      </c>
      <c r="G33" s="4"/>
      <c r="H33" s="11">
        <f t="shared" si="1"/>
        <v>0.6184037735849056</v>
      </c>
    </row>
    <row r="34" spans="2:8" ht="12.75">
      <c r="B34" t="s">
        <v>110</v>
      </c>
      <c r="D34" s="4">
        <v>2000</v>
      </c>
      <c r="E34" s="4"/>
      <c r="F34" s="4">
        <v>467.8</v>
      </c>
      <c r="G34" s="4"/>
      <c r="H34" s="11">
        <f t="shared" si="1"/>
        <v>0.2339</v>
      </c>
    </row>
    <row r="35" spans="2:8" ht="12.75">
      <c r="B35" t="s">
        <v>111</v>
      </c>
      <c r="D35" s="4">
        <v>200</v>
      </c>
      <c r="E35" s="4"/>
      <c r="F35" s="4">
        <v>88.51</v>
      </c>
      <c r="G35" s="4"/>
      <c r="H35" s="11">
        <f t="shared" si="1"/>
        <v>0.44255</v>
      </c>
    </row>
    <row r="36" spans="2:8" ht="12.75">
      <c r="B36" t="s">
        <v>112</v>
      </c>
      <c r="D36" s="4">
        <v>2400</v>
      </c>
      <c r="E36" s="4"/>
      <c r="F36" s="4">
        <v>0</v>
      </c>
      <c r="G36" s="4"/>
      <c r="H36" s="11">
        <f t="shared" si="1"/>
        <v>0</v>
      </c>
    </row>
    <row r="37" spans="2:8" ht="12.75">
      <c r="B37" t="s">
        <v>113</v>
      </c>
      <c r="D37" s="4">
        <v>250</v>
      </c>
      <c r="E37" s="4"/>
      <c r="F37" s="4">
        <v>81.89</v>
      </c>
      <c r="G37" s="4"/>
      <c r="H37" s="11">
        <f t="shared" si="1"/>
        <v>0.32756</v>
      </c>
    </row>
    <row r="38" spans="2:8" ht="12.75">
      <c r="B38" t="s">
        <v>114</v>
      </c>
      <c r="D38" s="24">
        <v>10923</v>
      </c>
      <c r="E38" s="24"/>
      <c r="F38" s="24">
        <v>8301.34</v>
      </c>
      <c r="G38" s="24"/>
      <c r="H38" s="25">
        <f t="shared" si="1"/>
        <v>0.759987183008331</v>
      </c>
    </row>
    <row r="39" spans="2:8" ht="12.75">
      <c r="B39" t="s">
        <v>115</v>
      </c>
      <c r="D39" s="24">
        <v>100</v>
      </c>
      <c r="E39" s="4"/>
      <c r="F39" s="24"/>
      <c r="G39" s="4"/>
      <c r="H39" s="25">
        <f t="shared" si="1"/>
        <v>0</v>
      </c>
    </row>
    <row r="40" spans="4:8" ht="12.75">
      <c r="D40" s="28">
        <f>SUM(D17:D39)</f>
        <v>72697</v>
      </c>
      <c r="E40" s="4"/>
      <c r="F40" s="28">
        <f>SUM(F17:F39)</f>
        <v>30383.319999999996</v>
      </c>
      <c r="G40" s="4"/>
      <c r="H40" s="27">
        <f t="shared" si="1"/>
        <v>0.4179446194478451</v>
      </c>
    </row>
    <row r="41" spans="5:8" ht="12.75">
      <c r="E41" s="4"/>
      <c r="G41" s="4"/>
      <c r="H41" s="4"/>
    </row>
    <row r="42" spans="3:9" ht="12.75">
      <c r="C42" t="s">
        <v>117</v>
      </c>
      <c r="D42" s="29">
        <f>D15-D40</f>
        <v>-8404</v>
      </c>
      <c r="E42" s="24"/>
      <c r="F42" s="29">
        <f>F15-F40</f>
        <v>-1958.6999999999935</v>
      </c>
      <c r="G42" s="24"/>
      <c r="H42" s="30">
        <f t="shared" si="1"/>
        <v>0.2330675868633976</v>
      </c>
      <c r="I42" s="31"/>
    </row>
    <row r="43" ht="12.75">
      <c r="E43" s="4"/>
    </row>
    <row r="44" spans="3:6" ht="12.75">
      <c r="C44" t="s">
        <v>12</v>
      </c>
      <c r="D44" s="18">
        <v>17809.46</v>
      </c>
      <c r="E44" s="4"/>
      <c r="F44" s="18">
        <v>17809.46</v>
      </c>
    </row>
    <row r="45" ht="12.75">
      <c r="E45" s="4"/>
    </row>
    <row r="46" spans="3:6" ht="13.5" thickBot="1">
      <c r="C46" t="s">
        <v>118</v>
      </c>
      <c r="D46" s="36">
        <f>D42+D44</f>
        <v>9405.46</v>
      </c>
      <c r="F46" s="36">
        <f>F42+F44</f>
        <v>15850.760000000006</v>
      </c>
    </row>
    <row r="47" ht="13.5" thickTop="1"/>
  </sheetData>
  <sheetProtection/>
  <mergeCells count="4">
    <mergeCell ref="A1:H1"/>
    <mergeCell ref="A2:H2"/>
    <mergeCell ref="A4:H4"/>
    <mergeCell ref="A3:H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32.57421875" style="0" customWidth="1"/>
    <col min="4" max="4" width="14.00390625" style="0" customWidth="1"/>
  </cols>
  <sheetData>
    <row r="1" spans="1:4" ht="12.75">
      <c r="A1" s="45" t="s">
        <v>197</v>
      </c>
      <c r="B1" s="45"/>
      <c r="C1" s="45"/>
      <c r="D1" s="45"/>
    </row>
    <row r="2" spans="1:4" ht="12.75">
      <c r="A2" s="45" t="s">
        <v>158</v>
      </c>
      <c r="B2" s="45"/>
      <c r="C2" s="45"/>
      <c r="D2" s="45"/>
    </row>
    <row r="3" spans="1:4" ht="12.75">
      <c r="A3" s="45" t="s">
        <v>119</v>
      </c>
      <c r="B3" s="45"/>
      <c r="C3" s="45"/>
      <c r="D3" s="45"/>
    </row>
    <row r="4" spans="1:4" ht="12.75">
      <c r="A4" s="46" t="str">
        <f>'GF Revenue'!A3:H3</f>
        <v>July 1, 2005 through January 31, 2006</v>
      </c>
      <c r="B4" s="46"/>
      <c r="C4" s="46"/>
      <c r="D4" s="46"/>
    </row>
    <row r="5" spans="1:4" ht="12.75">
      <c r="A5" s="17"/>
      <c r="B5" s="17"/>
      <c r="C5" s="17"/>
      <c r="D5" s="17"/>
    </row>
    <row r="6" spans="1:4" ht="12.75">
      <c r="A6" s="17"/>
      <c r="B6" s="17"/>
      <c r="C6" s="17"/>
      <c r="D6" s="17"/>
    </row>
    <row r="7" spans="1:4" ht="12.75">
      <c r="A7" s="17"/>
      <c r="B7" s="17"/>
      <c r="C7" s="17"/>
      <c r="D7" s="17"/>
    </row>
    <row r="8" spans="1:4" ht="12.75">
      <c r="A8" s="1"/>
      <c r="D8" s="2" t="s">
        <v>58</v>
      </c>
    </row>
    <row r="9" spans="1:4" ht="12.75">
      <c r="A9" s="1" t="s">
        <v>29</v>
      </c>
      <c r="D9" s="2"/>
    </row>
    <row r="10" spans="1:4" ht="12.75">
      <c r="A10" s="1"/>
      <c r="B10" t="s">
        <v>32</v>
      </c>
      <c r="D10" s="34">
        <v>11227.08</v>
      </c>
    </row>
    <row r="11" spans="1:4" ht="12.75">
      <c r="A11" s="1"/>
      <c r="D11" s="26"/>
    </row>
    <row r="12" spans="1:4" ht="12.75">
      <c r="A12" t="s">
        <v>53</v>
      </c>
      <c r="D12" s="4"/>
    </row>
    <row r="13" spans="2:4" ht="12.75">
      <c r="B13" t="s">
        <v>120</v>
      </c>
      <c r="D13" s="4"/>
    </row>
    <row r="14" spans="3:4" ht="12.75">
      <c r="C14" t="s">
        <v>121</v>
      </c>
      <c r="D14" s="4"/>
    </row>
    <row r="15" spans="3:4" ht="12.75">
      <c r="C15" t="s">
        <v>122</v>
      </c>
      <c r="D15" s="4">
        <v>12328.75</v>
      </c>
    </row>
    <row r="16" spans="3:4" ht="12.75">
      <c r="C16" t="s">
        <v>123</v>
      </c>
      <c r="D16" s="4">
        <v>250</v>
      </c>
    </row>
    <row r="17" ht="12.75">
      <c r="D17" s="28">
        <f>SUM(D13:D16)</f>
        <v>12578.75</v>
      </c>
    </row>
    <row r="18" spans="1:4" ht="12.75">
      <c r="A18" t="s">
        <v>153</v>
      </c>
      <c r="D18" s="24"/>
    </row>
    <row r="19" spans="2:4" ht="12.75">
      <c r="B19" t="s">
        <v>154</v>
      </c>
      <c r="D19" s="24"/>
    </row>
    <row r="20" spans="3:4" ht="12.75">
      <c r="C20" t="s">
        <v>155</v>
      </c>
      <c r="D20" s="24">
        <v>0</v>
      </c>
    </row>
    <row r="21" spans="3:4" ht="12.75">
      <c r="C21" t="s">
        <v>156</v>
      </c>
      <c r="D21" s="18">
        <v>0</v>
      </c>
    </row>
    <row r="22" ht="12.75">
      <c r="D22" s="4"/>
    </row>
    <row r="23" spans="3:5" ht="12.75">
      <c r="C23" t="s">
        <v>117</v>
      </c>
      <c r="D23" s="29">
        <f>D10-D17+D20+D21</f>
        <v>-1351.67</v>
      </c>
      <c r="E23" s="31"/>
    </row>
    <row r="24" ht="12.75">
      <c r="D24" s="4"/>
    </row>
    <row r="25" spans="3:4" ht="12.75">
      <c r="C25" t="s">
        <v>12</v>
      </c>
      <c r="D25" s="18">
        <v>801028.48</v>
      </c>
    </row>
    <row r="26" ht="12.75">
      <c r="D26" s="4"/>
    </row>
    <row r="27" spans="3:4" ht="13.5" thickBot="1">
      <c r="C27" t="s">
        <v>118</v>
      </c>
      <c r="D27" s="32">
        <f>D23+D25</f>
        <v>799676.8099999999</v>
      </c>
    </row>
    <row r="28" ht="13.5" thickTop="1"/>
  </sheetData>
  <sheetProtection/>
  <mergeCells count="4">
    <mergeCell ref="A2:D2"/>
    <mergeCell ref="A3:D3"/>
    <mergeCell ref="A4:D4"/>
    <mergeCell ref="A1:D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32.57421875" style="0" customWidth="1"/>
    <col min="4" max="4" width="14.00390625" style="4" customWidth="1"/>
  </cols>
  <sheetData>
    <row r="1" spans="1:4" ht="12.75">
      <c r="A1" s="45" t="s">
        <v>197</v>
      </c>
      <c r="B1" s="45"/>
      <c r="C1" s="45"/>
      <c r="D1" s="45"/>
    </row>
    <row r="2" spans="1:4" ht="12.75">
      <c r="A2" s="45" t="s">
        <v>195</v>
      </c>
      <c r="B2" s="45"/>
      <c r="C2" s="45"/>
      <c r="D2" s="45"/>
    </row>
    <row r="3" spans="1:4" ht="12.75">
      <c r="A3" s="45" t="s">
        <v>119</v>
      </c>
      <c r="B3" s="45"/>
      <c r="C3" s="45"/>
      <c r="D3" s="45"/>
    </row>
    <row r="4" spans="1:4" ht="12.75">
      <c r="A4" s="46" t="str">
        <f>'GF Revenue'!A3:H3</f>
        <v>July 1, 2005 through January 31, 2006</v>
      </c>
      <c r="B4" s="46"/>
      <c r="C4" s="46"/>
      <c r="D4" s="46"/>
    </row>
    <row r="5" spans="1:4" ht="12.75">
      <c r="A5" s="17"/>
      <c r="B5" s="17"/>
      <c r="C5" s="17"/>
      <c r="D5" s="17"/>
    </row>
    <row r="6" spans="1:4" ht="12.75">
      <c r="A6" s="17"/>
      <c r="B6" s="17"/>
      <c r="C6" s="17"/>
      <c r="D6" s="17"/>
    </row>
    <row r="7" spans="1:4" ht="12.75">
      <c r="A7" s="17"/>
      <c r="B7" s="17"/>
      <c r="C7" s="17"/>
      <c r="D7" s="12"/>
    </row>
    <row r="8" spans="1:4" ht="12.75">
      <c r="A8" s="1"/>
      <c r="D8" s="12" t="s">
        <v>58</v>
      </c>
    </row>
    <row r="9" spans="1:4" ht="12.75">
      <c r="A9" s="1" t="s">
        <v>29</v>
      </c>
      <c r="D9" s="12"/>
    </row>
    <row r="10" spans="1:4" ht="12.75">
      <c r="A10" s="1"/>
      <c r="B10" t="s">
        <v>124</v>
      </c>
      <c r="D10" s="38">
        <v>14160.6</v>
      </c>
    </row>
    <row r="11" spans="1:4" ht="12.75">
      <c r="A11" s="1"/>
      <c r="B11" t="s">
        <v>32</v>
      </c>
      <c r="D11" s="34">
        <v>2081.72</v>
      </c>
    </row>
    <row r="12" spans="1:4" ht="12.75">
      <c r="A12" s="1"/>
      <c r="D12" s="35">
        <f>SUM(D10:D11)</f>
        <v>16242.32</v>
      </c>
    </row>
    <row r="13" spans="1:4" ht="12.75">
      <c r="A13" s="1"/>
      <c r="D13" s="33"/>
    </row>
    <row r="14" ht="12.75">
      <c r="A14" t="s">
        <v>53</v>
      </c>
    </row>
    <row r="15" spans="2:4" ht="12.75">
      <c r="B15" t="s">
        <v>125</v>
      </c>
      <c r="D15" s="4">
        <v>2219.34</v>
      </c>
    </row>
    <row r="16" spans="2:4" ht="12.75">
      <c r="B16" t="s">
        <v>126</v>
      </c>
      <c r="D16" s="4">
        <v>23309.4</v>
      </c>
    </row>
    <row r="17" ht="12.75">
      <c r="D17" s="28">
        <f>SUM(D15:D16)</f>
        <v>25528.74</v>
      </c>
    </row>
    <row r="19" spans="3:5" ht="12.75">
      <c r="C19" t="s">
        <v>117</v>
      </c>
      <c r="D19" s="29">
        <f>D12-D17</f>
        <v>-9286.420000000002</v>
      </c>
      <c r="E19" s="31"/>
    </row>
    <row r="21" spans="3:4" ht="12.75">
      <c r="C21" t="s">
        <v>12</v>
      </c>
      <c r="D21" s="18">
        <v>50625.83</v>
      </c>
    </row>
    <row r="23" spans="3:4" ht="13.5" thickBot="1">
      <c r="C23" t="s">
        <v>118</v>
      </c>
      <c r="D23" s="36">
        <f>D19+D21</f>
        <v>41339.41</v>
      </c>
    </row>
    <row r="24" ht="13.5" thickTop="1"/>
  </sheetData>
  <sheetProtection/>
  <mergeCells count="4">
    <mergeCell ref="A2:D2"/>
    <mergeCell ref="A3:D3"/>
    <mergeCell ref="A4:D4"/>
    <mergeCell ref="A1:D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F50"/>
  <sheetViews>
    <sheetView zoomScalePageLayoutView="0" workbookViewId="0" topLeftCell="A72">
      <selection activeCell="F101" sqref="F101"/>
    </sheetView>
  </sheetViews>
  <sheetFormatPr defaultColWidth="9.140625" defaultRowHeight="12.75"/>
  <cols>
    <col min="1" max="2" width="11.421875" style="0" customWidth="1"/>
    <col min="3" max="3" width="11.8515625" style="0" customWidth="1"/>
    <col min="4" max="4" width="10.421875" style="0" customWidth="1"/>
    <col min="5" max="5" width="12.7109375" style="0" customWidth="1"/>
    <col min="6" max="6" width="10.8515625" style="0" customWidth="1"/>
  </cols>
  <sheetData>
    <row r="3" spans="2:6" ht="12.75">
      <c r="B3" s="40" t="s">
        <v>17</v>
      </c>
      <c r="C3" s="40" t="s">
        <v>191</v>
      </c>
      <c r="E3" s="40" t="s">
        <v>189</v>
      </c>
      <c r="F3" s="40" t="s">
        <v>190</v>
      </c>
    </row>
    <row r="4" spans="1:6" ht="12.75">
      <c r="A4" t="s">
        <v>177</v>
      </c>
      <c r="B4" s="41">
        <v>1847355.2</v>
      </c>
      <c r="C4" s="41">
        <v>244966.11</v>
      </c>
      <c r="D4" t="s">
        <v>177</v>
      </c>
      <c r="E4" s="41">
        <f>1847355.2+244966.11</f>
        <v>2092321.31</v>
      </c>
      <c r="F4" s="41">
        <f>1705733.68+200+271.04</f>
        <v>1706204.72</v>
      </c>
    </row>
    <row r="5" spans="1:6" ht="12.75">
      <c r="A5" t="s">
        <v>178</v>
      </c>
      <c r="B5" s="41">
        <v>1361183.97</v>
      </c>
      <c r="C5" s="41">
        <v>-155183.99</v>
      </c>
      <c r="D5" t="s">
        <v>178</v>
      </c>
      <c r="E5" s="41">
        <f>1361183.97-155183.99</f>
        <v>1205999.98</v>
      </c>
      <c r="F5" s="41">
        <f>2599569.78+200+271.04</f>
        <v>2600040.82</v>
      </c>
    </row>
    <row r="6" spans="1:6" ht="12.75">
      <c r="A6" t="s">
        <v>179</v>
      </c>
      <c r="B6" s="41">
        <v>1805685.78</v>
      </c>
      <c r="C6" s="4">
        <v>-322256.24</v>
      </c>
      <c r="D6" t="s">
        <v>179</v>
      </c>
      <c r="E6" s="43">
        <f>B6+C6</f>
        <v>1483429.54</v>
      </c>
      <c r="F6" s="41">
        <f>1970609.52+200+271.04</f>
        <v>1971080.56</v>
      </c>
    </row>
    <row r="7" spans="1:6" ht="12.75">
      <c r="A7" t="s">
        <v>180</v>
      </c>
      <c r="B7" s="41">
        <v>1767026.76</v>
      </c>
      <c r="C7" s="4">
        <v>-493658.97</v>
      </c>
      <c r="D7" t="s">
        <v>180</v>
      </c>
      <c r="E7">
        <f>1767026.76-493658.97</f>
        <v>1273367.79</v>
      </c>
      <c r="F7" s="41">
        <f>1302088.19+200+271.04</f>
        <v>1302559.23</v>
      </c>
    </row>
    <row r="8" spans="1:6" ht="12.75">
      <c r="A8" t="s">
        <v>181</v>
      </c>
      <c r="B8" s="41">
        <v>1769793.87</v>
      </c>
      <c r="C8" s="4">
        <v>-652703.38</v>
      </c>
      <c r="D8" t="s">
        <v>181</v>
      </c>
      <c r="E8" s="6">
        <f>B8+C8</f>
        <v>1117090.4900000002</v>
      </c>
      <c r="F8" s="41">
        <f>1027358.27+200+271.04</f>
        <v>1027829.31</v>
      </c>
    </row>
    <row r="9" spans="1:6" ht="12.75">
      <c r="A9" t="s">
        <v>182</v>
      </c>
      <c r="B9" s="41">
        <v>1938730.76</v>
      </c>
      <c r="C9" s="4">
        <v>-714609.6</v>
      </c>
      <c r="D9" t="s">
        <v>182</v>
      </c>
      <c r="E9" s="4">
        <f>1938731-714609.6</f>
        <v>1224121.4</v>
      </c>
      <c r="F9" s="41">
        <f>803359.97+200+271.04</f>
        <v>803831.01</v>
      </c>
    </row>
    <row r="10" spans="1:6" ht="12.75">
      <c r="A10" t="s">
        <v>183</v>
      </c>
      <c r="B10" s="41">
        <v>2137080</v>
      </c>
      <c r="C10" s="4">
        <v>-26551.14</v>
      </c>
      <c r="D10" t="s">
        <v>183</v>
      </c>
      <c r="E10" s="4">
        <f>2137080-26551.14</f>
        <v>2110528.86</v>
      </c>
      <c r="F10" s="41">
        <f>703092.77+1428762.27+200+158165.72+271.04-370872.98</f>
        <v>1919618.8200000003</v>
      </c>
    </row>
    <row r="11" spans="1:6" ht="12.75">
      <c r="A11" t="s">
        <v>184</v>
      </c>
      <c r="B11" s="41"/>
      <c r="C11" s="4"/>
      <c r="D11" t="s">
        <v>184</v>
      </c>
      <c r="F11" s="41">
        <f>778095.51+200+2039954.19+158165.72+237782.7+271.04+0.01</f>
        <v>3214469.1700000004</v>
      </c>
    </row>
    <row r="12" spans="1:6" ht="12.75">
      <c r="A12" t="s">
        <v>185</v>
      </c>
      <c r="B12" s="41"/>
      <c r="C12" s="4"/>
      <c r="D12" t="s">
        <v>185</v>
      </c>
      <c r="F12" s="41">
        <f>2862584.12+385851.05</f>
        <v>3248435.17</v>
      </c>
    </row>
    <row r="13" spans="1:6" ht="12.75">
      <c r="A13" t="s">
        <v>186</v>
      </c>
      <c r="B13" s="41"/>
      <c r="C13" s="4"/>
      <c r="D13" t="s">
        <v>186</v>
      </c>
      <c r="F13" s="41">
        <f>2055510.98+163914.71</f>
        <v>2219425.69</v>
      </c>
    </row>
    <row r="14" spans="1:6" ht="12.75">
      <c r="A14" t="s">
        <v>187</v>
      </c>
      <c r="B14" s="41"/>
      <c r="C14" s="4"/>
      <c r="D14" t="s">
        <v>187</v>
      </c>
      <c r="F14" s="41">
        <f>2106076.39+75904.6</f>
        <v>2181980.99</v>
      </c>
    </row>
    <row r="15" spans="1:6" ht="12.75">
      <c r="A15" t="s">
        <v>188</v>
      </c>
      <c r="B15" s="41"/>
      <c r="C15" s="4"/>
      <c r="D15" t="s">
        <v>188</v>
      </c>
      <c r="F15" s="41">
        <f>1995191.9-9656.74</f>
        <v>1985535.16</v>
      </c>
    </row>
    <row r="20" spans="2:3" ht="12.75">
      <c r="B20" s="40" t="s">
        <v>17</v>
      </c>
      <c r="C20" s="40" t="s">
        <v>57</v>
      </c>
    </row>
    <row r="21" spans="1:3" ht="12.75">
      <c r="A21" t="s">
        <v>177</v>
      </c>
      <c r="B21" s="11">
        <f>394351.46/$B$34</f>
        <v>0.08495149370605147</v>
      </c>
      <c r="C21" s="11">
        <v>1</v>
      </c>
    </row>
    <row r="22" spans="1:3" ht="12.75">
      <c r="A22" t="s">
        <v>178</v>
      </c>
      <c r="B22" s="11">
        <f>653325.69/$B$34</f>
        <v>0.1407399207854758</v>
      </c>
      <c r="C22" s="11">
        <v>1</v>
      </c>
    </row>
    <row r="23" spans="1:3" ht="12.75">
      <c r="A23" t="s">
        <v>179</v>
      </c>
      <c r="B23" s="11">
        <v>0.2088</v>
      </c>
      <c r="C23" s="11">
        <v>1</v>
      </c>
    </row>
    <row r="24" spans="1:3" ht="12.75">
      <c r="A24" t="s">
        <v>180</v>
      </c>
      <c r="B24" s="11">
        <v>0.2707</v>
      </c>
      <c r="C24" s="11">
        <v>1</v>
      </c>
    </row>
    <row r="25" spans="1:3" ht="12.75">
      <c r="A25" t="s">
        <v>181</v>
      </c>
      <c r="B25" s="11">
        <v>0.344</v>
      </c>
      <c r="C25" s="11">
        <v>1</v>
      </c>
    </row>
    <row r="26" spans="1:3" ht="12.75">
      <c r="A26" t="s">
        <v>182</v>
      </c>
      <c r="B26" s="11">
        <v>0.4079</v>
      </c>
      <c r="C26" s="11">
        <v>1</v>
      </c>
    </row>
    <row r="27" spans="1:3" ht="12.75">
      <c r="A27" t="s">
        <v>183</v>
      </c>
      <c r="B27" s="11">
        <v>0.4783</v>
      </c>
      <c r="C27" s="11">
        <v>1</v>
      </c>
    </row>
    <row r="28" spans="1:3" ht="12.75">
      <c r="A28" t="s">
        <v>184</v>
      </c>
      <c r="B28" s="11"/>
      <c r="C28" s="11">
        <v>1</v>
      </c>
    </row>
    <row r="29" spans="1:3" ht="12.75">
      <c r="A29" t="s">
        <v>185</v>
      </c>
      <c r="B29" s="11"/>
      <c r="C29" s="11">
        <v>1</v>
      </c>
    </row>
    <row r="30" spans="1:3" ht="12.75">
      <c r="A30" t="s">
        <v>186</v>
      </c>
      <c r="B30" s="11"/>
      <c r="C30" s="11">
        <v>1</v>
      </c>
    </row>
    <row r="31" spans="1:3" ht="12.75">
      <c r="A31" t="s">
        <v>187</v>
      </c>
      <c r="B31" s="11"/>
      <c r="C31" s="11">
        <v>1</v>
      </c>
    </row>
    <row r="32" spans="1:3" ht="12.75">
      <c r="A32" t="s">
        <v>188</v>
      </c>
      <c r="B32" s="11"/>
      <c r="C32" s="11">
        <v>1</v>
      </c>
    </row>
    <row r="34" ht="12.75">
      <c r="B34" s="41">
        <v>4642078</v>
      </c>
    </row>
    <row r="36" spans="2:3" ht="12.75">
      <c r="B36" s="40" t="s">
        <v>191</v>
      </c>
      <c r="C36" s="40" t="s">
        <v>57</v>
      </c>
    </row>
    <row r="37" spans="1:3" ht="12.75">
      <c r="A37" t="s">
        <v>177</v>
      </c>
      <c r="B37" s="11">
        <f>161278.89/B50</f>
        <v>0.02198379038704169</v>
      </c>
      <c r="C37" s="42">
        <v>1</v>
      </c>
    </row>
    <row r="38" spans="1:3" ht="12.75">
      <c r="A38" t="s">
        <v>178</v>
      </c>
      <c r="B38" s="11">
        <f>276747.12/B50</f>
        <v>0.037723168086644644</v>
      </c>
      <c r="C38" s="42">
        <v>1</v>
      </c>
    </row>
    <row r="39" spans="1:3" ht="12.75">
      <c r="A39" t="s">
        <v>179</v>
      </c>
      <c r="B39" s="11">
        <v>0.1342</v>
      </c>
      <c r="C39" s="42">
        <v>1</v>
      </c>
    </row>
    <row r="40" spans="1:3" ht="12.75">
      <c r="A40" t="s">
        <v>180</v>
      </c>
      <c r="B40" s="11">
        <v>0.2223</v>
      </c>
      <c r="C40" s="42">
        <v>1</v>
      </c>
    </row>
    <row r="41" spans="1:3" ht="12.75">
      <c r="A41" t="s">
        <v>181</v>
      </c>
      <c r="B41" s="11">
        <v>0.3018</v>
      </c>
      <c r="C41" s="42">
        <v>1</v>
      </c>
    </row>
    <row r="42" spans="1:3" ht="12.75">
      <c r="A42" t="s">
        <v>182</v>
      </c>
      <c r="B42" s="11">
        <v>0.3844</v>
      </c>
      <c r="C42" s="42">
        <v>1</v>
      </c>
    </row>
    <row r="43" spans="1:3" ht="12.75">
      <c r="A43" t="s">
        <v>183</v>
      </c>
      <c r="B43" s="11">
        <v>0.4658</v>
      </c>
      <c r="C43" s="42">
        <v>1</v>
      </c>
    </row>
    <row r="44" spans="1:3" ht="12.75">
      <c r="A44" t="s">
        <v>184</v>
      </c>
      <c r="B44" s="11"/>
      <c r="C44" s="42">
        <v>1</v>
      </c>
    </row>
    <row r="45" spans="1:3" ht="12.75">
      <c r="A45" t="s">
        <v>185</v>
      </c>
      <c r="B45" s="11"/>
      <c r="C45" s="42">
        <v>1</v>
      </c>
    </row>
    <row r="46" spans="1:3" ht="12.75">
      <c r="A46" t="s">
        <v>186</v>
      </c>
      <c r="B46" s="11"/>
      <c r="C46" s="42">
        <v>1</v>
      </c>
    </row>
    <row r="47" spans="1:3" ht="12.75">
      <c r="A47" t="s">
        <v>187</v>
      </c>
      <c r="B47" s="11"/>
      <c r="C47" s="42">
        <v>1</v>
      </c>
    </row>
    <row r="48" spans="1:3" ht="12.75">
      <c r="A48" t="s">
        <v>188</v>
      </c>
      <c r="B48" s="11"/>
      <c r="C48" s="42">
        <v>1</v>
      </c>
    </row>
    <row r="50" ht="12.75">
      <c r="B50" s="41">
        <v>7336264</v>
      </c>
    </row>
  </sheetData>
  <sheetProtection/>
  <printOptions/>
  <pageMargins left="0.75" right="0.75" top="0.49" bottom="0.52" header="0.5" footer="0.5"/>
  <pageSetup horizontalDpi="600" verticalDpi="600" orientation="landscape" paperSize="5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CGRESD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CGRESD</dc:creator>
  <cp:keywords/>
  <dc:description/>
  <cp:lastModifiedBy>Pat Korloch</cp:lastModifiedBy>
  <cp:lastPrinted>2006-02-07T21:07:58Z</cp:lastPrinted>
  <dcterms:created xsi:type="dcterms:W3CDTF">2005-01-11T13:16:58Z</dcterms:created>
  <dcterms:modified xsi:type="dcterms:W3CDTF">2014-04-10T20:04:08Z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-756250441</vt:i4>
  </property>
  <property fmtid="{D5CDD505-2E9C-101B-9397-08002B2CF9AE}" pid="3" name="_EmailSubject">
    <vt:lpwstr>Please post</vt:lpwstr>
  </property>
  <property fmtid="{D5CDD505-2E9C-101B-9397-08002B2CF9AE}" pid="4" name="_AuthorEmail">
    <vt:lpwstr>dmartell@msbo.org</vt:lpwstr>
  </property>
  <property fmtid="{D5CDD505-2E9C-101B-9397-08002B2CF9AE}" pid="5" name="_AuthorEmailDisplayName">
    <vt:lpwstr>David Martell</vt:lpwstr>
  </property>
  <property fmtid="{D5CDD505-2E9C-101B-9397-08002B2CF9AE}" pid="6" name="_ReviewingToolsShownOnce">
    <vt:lpwstr/>
  </property>
</Properties>
</file>