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400" windowHeight="6345"/>
  </bookViews>
  <sheets>
    <sheet name="Summary" sheetId="5" r:id="rId1"/>
    <sheet name="Assumptions" sheetId="4" r:id="rId2"/>
    <sheet name="Cost Sheet" sheetId="1" r:id="rId3"/>
    <sheet name="Plan Cost" sheetId="3" r:id="rId4"/>
    <sheet name="Normal Retirements" sheetId="2" r:id="rId5"/>
  </sheets>
  <definedNames>
    <definedName name="_xlnm.Print_Area" localSheetId="1">Assumptions!$A$1:$I$27</definedName>
    <definedName name="_xlnm.Print_Area" localSheetId="2">'Cost Sheet'!$A$1:$H$39</definedName>
    <definedName name="_xlnm.Print_Area" localSheetId="4">'Normal Retirements'!$A$1:$N$40</definedName>
    <definedName name="_xlnm.Print_Area" localSheetId="3">'Plan Cost'!$A$1:$J$19</definedName>
    <definedName name="_xlnm.Print_Area" localSheetId="0">Summary!$A$1:$E$14</definedName>
  </definedNames>
  <calcPr calcId="145621"/>
</workbook>
</file>

<file path=xl/calcChain.xml><?xml version="1.0" encoding="utf-8"?>
<calcChain xmlns="http://schemas.openxmlformats.org/spreadsheetml/2006/main">
  <c r="B11" i="1" l="1"/>
  <c r="D4" i="3"/>
  <c r="D7" i="3" s="1"/>
  <c r="C12" i="4" s="1"/>
  <c r="B12" i="1" s="1"/>
  <c r="B13" i="1" s="1"/>
  <c r="B16" i="1" s="1"/>
  <c r="B14" i="1"/>
  <c r="B15" i="1"/>
  <c r="B24" i="1"/>
  <c r="B20" i="4"/>
  <c r="G7" i="2"/>
  <c r="G18" i="2" s="1"/>
  <c r="F5" i="2"/>
  <c r="F7" i="2"/>
  <c r="H7" i="2" s="1"/>
  <c r="H18" i="2" s="1"/>
  <c r="B26" i="1" s="1"/>
  <c r="I12" i="4"/>
  <c r="H12" i="1" s="1"/>
  <c r="G24" i="1"/>
  <c r="F24" i="1"/>
  <c r="D24" i="1"/>
  <c r="C24" i="1"/>
  <c r="E24" i="1"/>
  <c r="H24" i="1"/>
  <c r="G26" i="2"/>
  <c r="J27" i="2" s="1"/>
  <c r="M28" i="2" s="1"/>
  <c r="I5" i="2"/>
  <c r="L5" i="2"/>
  <c r="C24" i="2" s="1"/>
  <c r="F24" i="2"/>
  <c r="M7" i="2"/>
  <c r="D27" i="2"/>
  <c r="G28" i="2" s="1"/>
  <c r="J29" i="2" s="1"/>
  <c r="M30" i="2" s="1"/>
  <c r="D26" i="2"/>
  <c r="G27" i="2" s="1"/>
  <c r="J28" i="2"/>
  <c r="M29" i="2" s="1"/>
  <c r="J7" i="2"/>
  <c r="M8" i="2" s="1"/>
  <c r="D28" i="2" s="1"/>
  <c r="G29" i="2" s="1"/>
  <c r="J30" i="2" s="1"/>
  <c r="M31" i="2" s="1"/>
  <c r="J8" i="2"/>
  <c r="M9" i="2" s="1"/>
  <c r="D29" i="2" s="1"/>
  <c r="G30" i="2" s="1"/>
  <c r="J31" i="2" s="1"/>
  <c r="M32" i="2" s="1"/>
  <c r="C27" i="2"/>
  <c r="E27" i="2" s="1"/>
  <c r="C26" i="2"/>
  <c r="E26" i="2" s="1"/>
  <c r="C28" i="2"/>
  <c r="C29" i="2"/>
  <c r="C14" i="1"/>
  <c r="D14" i="1" s="1"/>
  <c r="D15" i="1"/>
  <c r="L7" i="2"/>
  <c r="N7" i="2" s="1"/>
  <c r="L8" i="2"/>
  <c r="L9" i="2"/>
  <c r="N9" i="2" s="1"/>
  <c r="C15" i="1"/>
  <c r="I7" i="2"/>
  <c r="K7" i="2"/>
  <c r="K18" i="2" s="1"/>
  <c r="C26" i="1" s="1"/>
  <c r="I8" i="2"/>
  <c r="K8" i="2"/>
  <c r="C9" i="4"/>
  <c r="C11" i="1" s="1"/>
  <c r="D9" i="4"/>
  <c r="D11" i="1" s="1"/>
  <c r="C11" i="4"/>
  <c r="B11" i="4"/>
  <c r="B25" i="1" s="1"/>
  <c r="I20" i="2"/>
  <c r="F20" i="2"/>
  <c r="C20" i="2"/>
  <c r="D20" i="2"/>
  <c r="E20" i="2"/>
  <c r="L10" i="2"/>
  <c r="I9" i="2"/>
  <c r="F8" i="2"/>
  <c r="E18" i="2"/>
  <c r="C36" i="2"/>
  <c r="L17" i="2"/>
  <c r="I17" i="2"/>
  <c r="F35" i="2"/>
  <c r="C35" i="2"/>
  <c r="L16" i="2"/>
  <c r="I16" i="2"/>
  <c r="C34" i="2"/>
  <c r="L15" i="2"/>
  <c r="I15" i="2"/>
  <c r="F33" i="2"/>
  <c r="C33" i="2"/>
  <c r="L14" i="2"/>
  <c r="I14" i="2"/>
  <c r="C32" i="2"/>
  <c r="L13" i="2"/>
  <c r="I13" i="2"/>
  <c r="C31" i="2"/>
  <c r="L12" i="2"/>
  <c r="I12" i="2"/>
  <c r="C30" i="2"/>
  <c r="L11" i="2"/>
  <c r="I11" i="2"/>
  <c r="I10" i="2"/>
  <c r="F17" i="2"/>
  <c r="F16" i="2"/>
  <c r="F15" i="2"/>
  <c r="F14" i="2"/>
  <c r="F13" i="2"/>
  <c r="F12" i="2"/>
  <c r="F11" i="2"/>
  <c r="F10" i="2"/>
  <c r="F9" i="2"/>
  <c r="D19" i="3"/>
  <c r="C19" i="3"/>
  <c r="D16" i="3"/>
  <c r="D14" i="3"/>
  <c r="D12" i="3"/>
  <c r="D10" i="3"/>
  <c r="D8" i="3"/>
  <c r="K20" i="2" l="1"/>
  <c r="M37" i="2"/>
  <c r="J37" i="2"/>
  <c r="B27" i="1"/>
  <c r="B35" i="1"/>
  <c r="B17" i="1"/>
  <c r="A23" i="4" s="1"/>
  <c r="E28" i="2"/>
  <c r="I24" i="2"/>
  <c r="F26" i="2"/>
  <c r="H26" i="2" s="1"/>
  <c r="F28" i="2"/>
  <c r="H28" i="2" s="1"/>
  <c r="F27" i="2"/>
  <c r="H27" i="2" s="1"/>
  <c r="F29" i="2"/>
  <c r="H29" i="2" s="1"/>
  <c r="F30" i="2"/>
  <c r="H30" i="2" s="1"/>
  <c r="D9" i="3"/>
  <c r="D11" i="3"/>
  <c r="D13" i="3"/>
  <c r="D15" i="3"/>
  <c r="D17" i="3"/>
  <c r="E19" i="3"/>
  <c r="F31" i="2"/>
  <c r="F32" i="2"/>
  <c r="F34" i="2"/>
  <c r="F36" i="2"/>
  <c r="J18" i="2"/>
  <c r="G20" i="2" s="1"/>
  <c r="H20" i="2" s="1"/>
  <c r="M18" i="2"/>
  <c r="J20" i="2" s="1"/>
  <c r="D37" i="2"/>
  <c r="M20" i="2" s="1"/>
  <c r="G37" i="2"/>
  <c r="D39" i="2" s="1"/>
  <c r="C13" i="4"/>
  <c r="D11" i="4"/>
  <c r="E9" i="4"/>
  <c r="N8" i="2"/>
  <c r="N18" i="2" s="1"/>
  <c r="D26" i="1" s="1"/>
  <c r="E29" i="2"/>
  <c r="E4" i="3"/>
  <c r="C20" i="4"/>
  <c r="D20" i="4" s="1"/>
  <c r="E20" i="4" s="1"/>
  <c r="F20" i="4" s="1"/>
  <c r="G20" i="4" s="1"/>
  <c r="H20" i="4" s="1"/>
  <c r="I20" i="4" s="1"/>
  <c r="F4" i="3" l="1"/>
  <c r="E7" i="3"/>
  <c r="D13" i="4" s="1"/>
  <c r="E16" i="3"/>
  <c r="E14" i="3"/>
  <c r="E8" i="3"/>
  <c r="D12" i="4" s="1"/>
  <c r="C12" i="1" s="1"/>
  <c r="C13" i="1" s="1"/>
  <c r="C16" i="1" s="1"/>
  <c r="E17" i="3"/>
  <c r="E13" i="3"/>
  <c r="E12" i="3"/>
  <c r="E11" i="3"/>
  <c r="E10" i="3"/>
  <c r="E9" i="3"/>
  <c r="E15" i="3"/>
  <c r="E11" i="1"/>
  <c r="E11" i="4"/>
  <c r="E25" i="1" s="1"/>
  <c r="E27" i="1" s="1"/>
  <c r="F9" i="4"/>
  <c r="L20" i="2"/>
  <c r="N20" i="2" s="1"/>
  <c r="F19" i="3"/>
  <c r="L24" i="2"/>
  <c r="I27" i="2"/>
  <c r="K27" i="2" s="1"/>
  <c r="I28" i="2"/>
  <c r="K28" i="2" s="1"/>
  <c r="I31" i="2"/>
  <c r="K31" i="2" s="1"/>
  <c r="I35" i="2"/>
  <c r="I33" i="2"/>
  <c r="I26" i="2"/>
  <c r="I29" i="2"/>
  <c r="K29" i="2" s="1"/>
  <c r="I30" i="2"/>
  <c r="K30" i="2" s="1"/>
  <c r="I36" i="2"/>
  <c r="I34" i="2"/>
  <c r="I32" i="2"/>
  <c r="J39" i="2"/>
  <c r="G39" i="2"/>
  <c r="D25" i="1"/>
  <c r="D27" i="1" s="1"/>
  <c r="H37" i="2"/>
  <c r="F26" i="1" s="1"/>
  <c r="E37" i="2"/>
  <c r="E26" i="1" s="1"/>
  <c r="B36" i="1"/>
  <c r="B37" i="1" s="1"/>
  <c r="B39" i="1" s="1"/>
  <c r="A25" i="4" s="1"/>
  <c r="B28" i="1"/>
  <c r="C25" i="1"/>
  <c r="C27" i="1" s="1"/>
  <c r="C36" i="1" l="1"/>
  <c r="C28" i="1"/>
  <c r="L28" i="2"/>
  <c r="N28" i="2" s="1"/>
  <c r="L29" i="2"/>
  <c r="N29" i="2" s="1"/>
  <c r="L31" i="2"/>
  <c r="N31" i="2" s="1"/>
  <c r="L32" i="2"/>
  <c r="N32" i="2" s="1"/>
  <c r="L35" i="2"/>
  <c r="L33" i="2"/>
  <c r="L30" i="2"/>
  <c r="N30" i="2" s="1"/>
  <c r="L27" i="2"/>
  <c r="L34" i="2"/>
  <c r="L36" i="2"/>
  <c r="L26" i="2"/>
  <c r="E36" i="1"/>
  <c r="D36" i="1"/>
  <c r="D28" i="1"/>
  <c r="E28" i="1" s="1"/>
  <c r="K37" i="2"/>
  <c r="G26" i="1" s="1"/>
  <c r="F11" i="1"/>
  <c r="G9" i="4"/>
  <c r="F11" i="4"/>
  <c r="F25" i="1" s="1"/>
  <c r="F27" i="1" s="1"/>
  <c r="G19" i="3"/>
  <c r="C39" i="2"/>
  <c r="E39" i="2" s="1"/>
  <c r="C35" i="1"/>
  <c r="C37" i="1" s="1"/>
  <c r="C39" i="1" s="1"/>
  <c r="C17" i="1"/>
  <c r="D17" i="1"/>
  <c r="F9" i="3"/>
  <c r="E12" i="4" s="1"/>
  <c r="D12" i="1" s="1"/>
  <c r="D13" i="1" s="1"/>
  <c r="D16" i="1" s="1"/>
  <c r="D35" i="1" s="1"/>
  <c r="D37" i="1" s="1"/>
  <c r="F7" i="3"/>
  <c r="E13" i="4" s="1"/>
  <c r="F17" i="3"/>
  <c r="F15" i="3"/>
  <c r="F13" i="3"/>
  <c r="F12" i="3"/>
  <c r="F11" i="3"/>
  <c r="F10" i="3"/>
  <c r="G4" i="3"/>
  <c r="F16" i="3"/>
  <c r="F8" i="3"/>
  <c r="F14" i="3"/>
  <c r="H4" i="3" l="1"/>
  <c r="G10" i="3"/>
  <c r="F12" i="4" s="1"/>
  <c r="E12" i="1" s="1"/>
  <c r="E13" i="1" s="1"/>
  <c r="E16" i="1" s="1"/>
  <c r="G7" i="3"/>
  <c r="F13" i="4" s="1"/>
  <c r="G16" i="3"/>
  <c r="G14" i="3"/>
  <c r="G9" i="3"/>
  <c r="G8" i="3"/>
  <c r="G15" i="3"/>
  <c r="G17" i="3"/>
  <c r="G13" i="3"/>
  <c r="G12" i="3"/>
  <c r="G11" i="3"/>
  <c r="D39" i="1"/>
  <c r="E17" i="1"/>
  <c r="G11" i="1"/>
  <c r="F39" i="2"/>
  <c r="H39" i="2" s="1"/>
  <c r="H9" i="4"/>
  <c r="H19" i="3"/>
  <c r="G11" i="4"/>
  <c r="G25" i="1" s="1"/>
  <c r="G27" i="1" s="1"/>
  <c r="F36" i="1"/>
  <c r="F28" i="1"/>
  <c r="N37" i="2"/>
  <c r="H26" i="1" s="1"/>
  <c r="G36" i="1" l="1"/>
  <c r="G28" i="1"/>
  <c r="H11" i="1"/>
  <c r="H13" i="1" s="1"/>
  <c r="H16" i="1" s="1"/>
  <c r="H35" i="1" s="1"/>
  <c r="H11" i="4"/>
  <c r="H25" i="1" s="1"/>
  <c r="H27" i="1" s="1"/>
  <c r="I39" i="2"/>
  <c r="K39" i="2" s="1"/>
  <c r="I19" i="3"/>
  <c r="I9" i="4"/>
  <c r="E35" i="1"/>
  <c r="E37" i="1" s="1"/>
  <c r="E39" i="1" s="1"/>
  <c r="I4" i="3"/>
  <c r="H11" i="3"/>
  <c r="G12" i="4" s="1"/>
  <c r="F12" i="1" s="1"/>
  <c r="F13" i="1" s="1"/>
  <c r="F16" i="1" s="1"/>
  <c r="F35" i="1" s="1"/>
  <c r="F37" i="1" s="1"/>
  <c r="H7" i="3"/>
  <c r="G13" i="4" s="1"/>
  <c r="H17" i="3"/>
  <c r="H15" i="3"/>
  <c r="H13" i="3"/>
  <c r="H12" i="3"/>
  <c r="H14" i="3"/>
  <c r="H16" i="3"/>
  <c r="H10" i="3"/>
  <c r="H9" i="3"/>
  <c r="H8" i="3"/>
  <c r="I12" i="3" l="1"/>
  <c r="H12" i="4" s="1"/>
  <c r="G12" i="1" s="1"/>
  <c r="G13" i="1" s="1"/>
  <c r="G16" i="1" s="1"/>
  <c r="I7" i="3"/>
  <c r="H13" i="4" s="1"/>
  <c r="I16" i="3"/>
  <c r="I14" i="3"/>
  <c r="I11" i="3"/>
  <c r="I10" i="3"/>
  <c r="I9" i="3"/>
  <c r="I8" i="3"/>
  <c r="J4" i="3"/>
  <c r="I17" i="3"/>
  <c r="I13" i="3"/>
  <c r="I15" i="3"/>
  <c r="I11" i="4"/>
  <c r="J19" i="3"/>
  <c r="F39" i="1"/>
  <c r="H17" i="1"/>
  <c r="F17" i="1"/>
  <c r="H36" i="1"/>
  <c r="H37" i="1" s="1"/>
  <c r="H28" i="1"/>
  <c r="J7" i="3" l="1"/>
  <c r="I13" i="4" s="1"/>
  <c r="J16" i="3"/>
  <c r="J14" i="3"/>
  <c r="J12" i="3"/>
  <c r="J10" i="3"/>
  <c r="J8" i="3"/>
  <c r="J15" i="3"/>
  <c r="J11" i="3"/>
  <c r="J17" i="3"/>
  <c r="J13" i="3"/>
  <c r="J9" i="3"/>
  <c r="G35" i="1"/>
  <c r="G37" i="1" s="1"/>
  <c r="G39" i="1" s="1"/>
  <c r="H39" i="1" s="1"/>
  <c r="A27" i="4" s="1"/>
  <c r="G17" i="1"/>
</calcChain>
</file>

<file path=xl/sharedStrings.xml><?xml version="1.0" encoding="utf-8"?>
<sst xmlns="http://schemas.openxmlformats.org/spreadsheetml/2006/main" count="128" uniqueCount="67">
  <si>
    <t>Variables &amp; Assumptions</t>
  </si>
  <si>
    <t>Retirement Rate</t>
  </si>
  <si>
    <t>Retirement Incentive</t>
  </si>
  <si>
    <t>Teachers Taking Plan</t>
  </si>
  <si>
    <t>Normal Retirements</t>
  </si>
  <si>
    <t>Plan Impact</t>
  </si>
  <si>
    <t>Base Increase</t>
  </si>
  <si>
    <t>2004-05</t>
  </si>
  <si>
    <t>2005-06</t>
  </si>
  <si>
    <t>Year</t>
  </si>
  <si>
    <t>Longevity Payment</t>
  </si>
  <si>
    <t>FICA Rate</t>
  </si>
  <si>
    <t>Plan Cost</t>
  </si>
  <si>
    <t>Sub Total</t>
  </si>
  <si>
    <t>Annual Savings</t>
  </si>
  <si>
    <t>Cumulative Savings</t>
  </si>
  <si>
    <t>TABLE 2</t>
  </si>
  <si>
    <t>TABLE 1</t>
  </si>
  <si>
    <t>EXHIBIT A</t>
  </si>
  <si>
    <t>TABLE 3</t>
  </si>
  <si>
    <t>Plan Versus No Plan</t>
  </si>
  <si>
    <t>Total Savings - Table 1</t>
  </si>
  <si>
    <t>Total Savings - Table 2</t>
  </si>
  <si>
    <t>Annual Savings of ERI Plan</t>
  </si>
  <si>
    <t>Cost / Benefit Analysis</t>
  </si>
  <si>
    <t>Early Retirement Incentive Plan</t>
  </si>
  <si>
    <t>Cumulative Normal Retirements</t>
  </si>
  <si>
    <t>2006-07</t>
  </si>
  <si>
    <t>2007-08</t>
  </si>
  <si>
    <t>2008-09</t>
  </si>
  <si>
    <t>2009-10</t>
  </si>
  <si>
    <t>2010-11</t>
  </si>
  <si>
    <t>2011-12</t>
  </si>
  <si>
    <t>Net cost of plan new hires</t>
  </si>
  <si>
    <t>Normal Replacements</t>
  </si>
  <si>
    <t>Step</t>
  </si>
  <si>
    <t>Base</t>
  </si>
  <si>
    <t>Index</t>
  </si>
  <si>
    <t>MA=10, Step 13</t>
  </si>
  <si>
    <t>Plan New Hires (Starting @ BA+18, Step 3)</t>
  </si>
  <si>
    <t>n/a</t>
  </si>
  <si>
    <t>Normal New Hire Salary (@ BA+18, Step 3)</t>
  </si>
  <si>
    <t>Plus Longevity</t>
  </si>
  <si>
    <t>Retirements</t>
  </si>
  <si>
    <t>Teacher Salary Progression</t>
  </si>
  <si>
    <t>Assuming Plan Implemented</t>
  </si>
  <si>
    <t>MA+10, Step 13</t>
  </si>
  <si>
    <t>BA=18</t>
  </si>
  <si>
    <t>Total Salary</t>
  </si>
  <si>
    <t>Plan participants</t>
  </si>
  <si>
    <t>Average Top Compensation (@ MA+10, Step 13)</t>
  </si>
  <si>
    <t>Teacher Salary Analysis</t>
  </si>
  <si>
    <t>FICA (@ 7.65%)</t>
  </si>
  <si>
    <t>Incentive</t>
  </si>
  <si>
    <t>Minimum</t>
  </si>
  <si>
    <t>ERI Analysis</t>
  </si>
  <si>
    <t>Gross</t>
  </si>
  <si>
    <t>Net</t>
  </si>
  <si>
    <t>1st Year Savings</t>
  </si>
  <si>
    <t>7 Year Net</t>
  </si>
  <si>
    <t>Savings</t>
  </si>
  <si>
    <t>7 Year Net Savings</t>
  </si>
  <si>
    <t>1st Year Net Savings</t>
  </si>
  <si>
    <t>Net Savings of ERI Plan</t>
  </si>
  <si>
    <t>Cumulative Gross Savings</t>
  </si>
  <si>
    <t>(SCHOOL DISTRICT)</t>
  </si>
  <si>
    <t>(School District)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</si>
</sst>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  <numFmt numFmtId="166" formatCode="0.0%"/>
    <numFmt numFmtId="170" formatCode="_(* #,##0_);_(* \(#,##0\);_(* &quot;-&quot;??_);_(@_)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/>
    <xf numFmtId="0" fontId="2" fillId="3" borderId="1" xfId="0" applyFont="1" applyFill="1" applyBorder="1"/>
    <xf numFmtId="0" fontId="3" fillId="0" borderId="0" xfId="0" applyFont="1" applyFill="1" applyBorder="1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70" fontId="5" fillId="0" borderId="1" xfId="1" applyNumberFormat="1" applyFont="1" applyFill="1" applyBorder="1"/>
    <xf numFmtId="0" fontId="5" fillId="3" borderId="1" xfId="0" applyFont="1" applyFill="1" applyBorder="1"/>
    <xf numFmtId="170" fontId="5" fillId="0" borderId="0" xfId="1" applyNumberFormat="1" applyFont="1" applyFill="1"/>
    <xf numFmtId="170" fontId="5" fillId="4" borderId="1" xfId="1" applyNumberFormat="1" applyFont="1" applyFill="1" applyBorder="1"/>
    <xf numFmtId="43" fontId="5" fillId="2" borderId="1" xfId="1" applyFont="1" applyFill="1" applyBorder="1"/>
    <xf numFmtId="0" fontId="6" fillId="3" borderId="0" xfId="0" applyFont="1" applyFill="1"/>
    <xf numFmtId="170" fontId="5" fillId="2" borderId="2" xfId="1" applyNumberFormat="1" applyFont="1" applyFill="1" applyBorder="1"/>
    <xf numFmtId="170" fontId="5" fillId="2" borderId="3" xfId="1" applyNumberFormat="1" applyFont="1" applyFill="1" applyBorder="1"/>
    <xf numFmtId="170" fontId="5" fillId="5" borderId="1" xfId="1" applyNumberFormat="1" applyFont="1" applyFill="1" applyBorder="1"/>
    <xf numFmtId="0" fontId="6" fillId="3" borderId="4" xfId="0" applyFont="1" applyFill="1" applyBorder="1"/>
    <xf numFmtId="170" fontId="2" fillId="0" borderId="0" xfId="1" applyNumberFormat="1" applyFont="1" applyFill="1" applyBorder="1"/>
    <xf numFmtId="43" fontId="2" fillId="2" borderId="1" xfId="1" applyFont="1" applyFill="1" applyBorder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0" fontId="2" fillId="3" borderId="1" xfId="1" applyNumberFormat="1" applyFont="1" applyFill="1" applyBorder="1"/>
    <xf numFmtId="170" fontId="2" fillId="4" borderId="1" xfId="1" applyNumberFormat="1" applyFont="1" applyFill="1" applyBorder="1"/>
    <xf numFmtId="170" fontId="2" fillId="6" borderId="1" xfId="1" applyNumberFormat="1" applyFont="1" applyFill="1" applyBorder="1"/>
    <xf numFmtId="170" fontId="2" fillId="6" borderId="3" xfId="1" applyNumberFormat="1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2" fillId="4" borderId="1" xfId="0" applyFont="1" applyFill="1" applyBorder="1"/>
    <xf numFmtId="0" fontId="2" fillId="6" borderId="1" xfId="0" applyFont="1" applyFill="1" applyBorder="1"/>
    <xf numFmtId="170" fontId="2" fillId="6" borderId="1" xfId="0" applyNumberFormat="1" applyFont="1" applyFill="1" applyBorder="1"/>
    <xf numFmtId="0" fontId="4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1" xfId="0" applyFont="1" applyBorder="1"/>
    <xf numFmtId="0" fontId="8" fillId="0" borderId="0" xfId="0" applyFont="1" applyAlignment="1">
      <alignment horizontal="center"/>
    </xf>
    <xf numFmtId="0" fontId="2" fillId="2" borderId="1" xfId="0" applyFont="1" applyFill="1" applyBorder="1"/>
    <xf numFmtId="165" fontId="2" fillId="2" borderId="1" xfId="2" applyNumberFormat="1" applyFont="1" applyFill="1" applyBorder="1"/>
    <xf numFmtId="10" fontId="4" fillId="0" borderId="1" xfId="3" applyNumberFormat="1" applyFont="1" applyFill="1" applyBorder="1"/>
    <xf numFmtId="10" fontId="4" fillId="0" borderId="1" xfId="0" applyNumberFormat="1" applyFont="1" applyFill="1" applyBorder="1"/>
    <xf numFmtId="0" fontId="4" fillId="0" borderId="4" xfId="0" applyFont="1" applyBorder="1"/>
    <xf numFmtId="10" fontId="4" fillId="0" borderId="4" xfId="3" applyNumberFormat="1" applyFont="1" applyFill="1" applyBorder="1"/>
    <xf numFmtId="0" fontId="2" fillId="7" borderId="1" xfId="0" applyFont="1" applyFill="1" applyBorder="1"/>
    <xf numFmtId="166" fontId="2" fillId="7" borderId="1" xfId="3" applyNumberFormat="1" applyFont="1" applyFill="1" applyBorder="1"/>
    <xf numFmtId="0" fontId="7" fillId="2" borderId="4" xfId="0" applyFont="1" applyFill="1" applyBorder="1"/>
    <xf numFmtId="0" fontId="2" fillId="7" borderId="1" xfId="0" applyFont="1" applyFill="1" applyBorder="1" applyAlignment="1">
      <alignment horizontal="center"/>
    </xf>
    <xf numFmtId="43" fontId="2" fillId="0" borderId="0" xfId="1" applyFont="1" applyFill="1" applyBorder="1"/>
    <xf numFmtId="170" fontId="2" fillId="3" borderId="6" xfId="1" applyNumberFormat="1" applyFont="1" applyFill="1" applyBorder="1"/>
    <xf numFmtId="0" fontId="2" fillId="0" borderId="1" xfId="0" applyFont="1" applyBorder="1"/>
    <xf numFmtId="170" fontId="2" fillId="0" borderId="1" xfId="1" applyNumberFormat="1" applyFont="1" applyBorder="1"/>
    <xf numFmtId="170" fontId="2" fillId="0" borderId="1" xfId="0" applyNumberFormat="1" applyFont="1" applyBorder="1"/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1" fillId="2" borderId="1" xfId="0" applyFont="1" applyFill="1" applyBorder="1" applyAlignment="1">
      <alignment horizontal="center"/>
    </xf>
    <xf numFmtId="165" fontId="12" fillId="0" borderId="1" xfId="2" applyNumberFormat="1" applyFont="1" applyBorder="1"/>
    <xf numFmtId="0" fontId="12" fillId="0" borderId="1" xfId="0" applyFont="1" applyBorder="1"/>
    <xf numFmtId="0" fontId="2" fillId="2" borderId="5" xfId="0" applyFont="1" applyFill="1" applyBorder="1"/>
    <xf numFmtId="0" fontId="4" fillId="2" borderId="7" xfId="0" applyFont="1" applyFill="1" applyBorder="1"/>
    <xf numFmtId="0" fontId="4" fillId="0" borderId="7" xfId="0" applyFont="1" applyFill="1" applyBorder="1"/>
    <xf numFmtId="165" fontId="4" fillId="0" borderId="1" xfId="2" applyNumberFormat="1" applyFont="1" applyFill="1" applyBorder="1"/>
    <xf numFmtId="0" fontId="4" fillId="0" borderId="1" xfId="0" applyFont="1" applyFill="1" applyBorder="1"/>
    <xf numFmtId="165" fontId="4" fillId="0" borderId="1" xfId="2" applyNumberFormat="1" applyFont="1" applyFill="1" applyBorder="1" applyAlignment="1">
      <alignment horizontal="center"/>
    </xf>
    <xf numFmtId="0" fontId="12" fillId="0" borderId="7" xfId="0" applyFont="1" applyBorder="1"/>
    <xf numFmtId="165" fontId="12" fillId="0" borderId="0" xfId="2" applyNumberFormat="1" applyFont="1" applyBorder="1"/>
    <xf numFmtId="170" fontId="12" fillId="0" borderId="0" xfId="1" applyNumberFormat="1" applyFont="1" applyBorder="1"/>
    <xf numFmtId="0" fontId="12" fillId="0" borderId="0" xfId="0" applyFont="1" applyBorder="1"/>
    <xf numFmtId="0" fontId="3" fillId="2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165" fontId="14" fillId="4" borderId="9" xfId="2" applyNumberFormat="1" applyFont="1" applyFill="1" applyBorder="1"/>
    <xf numFmtId="165" fontId="14" fillId="4" borderId="10" xfId="2" applyNumberFormat="1" applyFont="1" applyFill="1" applyBorder="1"/>
    <xf numFmtId="0" fontId="14" fillId="4" borderId="9" xfId="0" applyFont="1" applyFill="1" applyBorder="1" applyAlignment="1">
      <alignment horizontal="center"/>
    </xf>
    <xf numFmtId="165" fontId="14" fillId="4" borderId="10" xfId="2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2" fillId="7" borderId="1" xfId="2" applyNumberFormat="1" applyFont="1" applyFill="1" applyBorder="1"/>
    <xf numFmtId="0" fontId="2" fillId="0" borderId="7" xfId="0" applyFont="1" applyFill="1" applyBorder="1"/>
    <xf numFmtId="165" fontId="2" fillId="0" borderId="1" xfId="0" applyNumberFormat="1" applyFont="1" applyFill="1" applyBorder="1"/>
    <xf numFmtId="170" fontId="2" fillId="0" borderId="1" xfId="1" applyNumberFormat="1" applyFont="1" applyFill="1" applyBorder="1"/>
    <xf numFmtId="165" fontId="2" fillId="0" borderId="1" xfId="2" applyNumberFormat="1" applyFont="1" applyFill="1" applyBorder="1"/>
    <xf numFmtId="0" fontId="2" fillId="7" borderId="3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7" fillId="7" borderId="4" xfId="0" applyFont="1" applyFill="1" applyBorder="1"/>
    <xf numFmtId="0" fontId="2" fillId="7" borderId="5" xfId="0" applyFont="1" applyFill="1" applyBorder="1"/>
    <xf numFmtId="0" fontId="4" fillId="7" borderId="5" xfId="0" applyFont="1" applyFill="1" applyBorder="1"/>
    <xf numFmtId="0" fontId="4" fillId="7" borderId="7" xfId="0" applyFont="1" applyFill="1" applyBorder="1"/>
    <xf numFmtId="0" fontId="4" fillId="7" borderId="5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0" borderId="0" xfId="0" applyFont="1" applyFill="1"/>
    <xf numFmtId="170" fontId="2" fillId="0" borderId="1" xfId="0" applyNumberFormat="1" applyFont="1" applyFill="1" applyBorder="1"/>
    <xf numFmtId="170" fontId="4" fillId="0" borderId="0" xfId="0" applyNumberFormat="1" applyFont="1" applyFill="1"/>
    <xf numFmtId="0" fontId="2" fillId="7" borderId="7" xfId="0" applyFont="1" applyFill="1" applyBorder="1"/>
    <xf numFmtId="165" fontId="12" fillId="3" borderId="1" xfId="2" applyNumberFormat="1" applyFont="1" applyFill="1" applyBorder="1"/>
    <xf numFmtId="170" fontId="12" fillId="0" borderId="1" xfId="1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70" fontId="2" fillId="2" borderId="12" xfId="1" applyNumberFormat="1" applyFont="1" applyFill="1" applyBorder="1" applyAlignment="1">
      <alignment horizontal="center"/>
    </xf>
    <xf numFmtId="170" fontId="2" fillId="2" borderId="13" xfId="1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tabSelected="1" topLeftCell="A4" workbookViewId="0">
      <selection activeCell="I5" sqref="I5"/>
    </sheetView>
  </sheetViews>
  <sheetFormatPr defaultRowHeight="18" x14ac:dyDescent="0.25"/>
  <cols>
    <col min="1" max="1" width="13.42578125" style="56" bestFit="1" customWidth="1"/>
    <col min="2" max="2" width="13.5703125" style="56" bestFit="1" customWidth="1"/>
    <col min="3" max="3" width="18.85546875" style="56" bestFit="1" customWidth="1"/>
    <col min="4" max="4" width="15.7109375" style="56" bestFit="1" customWidth="1"/>
    <col min="5" max="5" width="17.140625" style="56" bestFit="1" customWidth="1"/>
    <col min="6" max="16384" width="9.140625" style="56"/>
  </cols>
  <sheetData>
    <row r="1" spans="1:5" ht="23.25" x14ac:dyDescent="0.35">
      <c r="A1" s="101" t="s">
        <v>65</v>
      </c>
      <c r="B1" s="101"/>
      <c r="C1" s="101"/>
      <c r="D1" s="101"/>
      <c r="E1" s="101"/>
    </row>
    <row r="2" spans="1:5" ht="30" x14ac:dyDescent="0.4">
      <c r="A2" s="100" t="s">
        <v>55</v>
      </c>
      <c r="B2" s="100"/>
      <c r="C2" s="100"/>
      <c r="D2" s="100"/>
      <c r="E2" s="100"/>
    </row>
    <row r="6" spans="1:5" x14ac:dyDescent="0.25">
      <c r="A6" s="55"/>
      <c r="B6" s="55"/>
      <c r="C6" s="99" t="s">
        <v>58</v>
      </c>
      <c r="D6" s="99"/>
      <c r="E6" s="70" t="s">
        <v>59</v>
      </c>
    </row>
    <row r="7" spans="1:5" x14ac:dyDescent="0.25">
      <c r="A7" s="57" t="s">
        <v>53</v>
      </c>
      <c r="B7" s="57" t="s">
        <v>54</v>
      </c>
      <c r="C7" s="57" t="s">
        <v>56</v>
      </c>
      <c r="D7" s="57" t="s">
        <v>57</v>
      </c>
      <c r="E7" s="72" t="s">
        <v>60</v>
      </c>
    </row>
    <row r="8" spans="1:5" x14ac:dyDescent="0.25">
      <c r="A8" s="58">
        <v>25000</v>
      </c>
      <c r="B8" s="98">
        <v>18</v>
      </c>
      <c r="C8" s="58">
        <v>419644</v>
      </c>
      <c r="D8" s="58">
        <v>190372</v>
      </c>
      <c r="E8" s="58">
        <v>798</v>
      </c>
    </row>
    <row r="9" spans="1:5" x14ac:dyDescent="0.25">
      <c r="A9" s="58">
        <v>0</v>
      </c>
      <c r="B9" s="98">
        <v>5</v>
      </c>
      <c r="C9" s="58">
        <v>161422</v>
      </c>
      <c r="D9" s="97"/>
      <c r="E9" s="97"/>
    </row>
    <row r="10" spans="1:5" x14ac:dyDescent="0.25">
      <c r="A10" s="58">
        <v>25000</v>
      </c>
      <c r="B10" s="98">
        <v>20</v>
      </c>
      <c r="C10" s="58">
        <v>466271</v>
      </c>
      <c r="D10" s="58">
        <v>302505</v>
      </c>
      <c r="E10" s="58">
        <v>-7074</v>
      </c>
    </row>
    <row r="11" spans="1:5" x14ac:dyDescent="0.25">
      <c r="A11" s="58">
        <v>25000</v>
      </c>
      <c r="B11" s="98">
        <v>22</v>
      </c>
      <c r="C11" s="58">
        <v>512898</v>
      </c>
      <c r="D11" s="58">
        <v>349133</v>
      </c>
      <c r="E11" s="58">
        <v>61797</v>
      </c>
    </row>
    <row r="12" spans="1:5" x14ac:dyDescent="0.25">
      <c r="A12" s="58">
        <v>22000</v>
      </c>
      <c r="B12" s="98">
        <v>18</v>
      </c>
      <c r="C12" s="58">
        <v>439021</v>
      </c>
      <c r="D12" s="58">
        <v>275255</v>
      </c>
      <c r="E12" s="58">
        <v>58929</v>
      </c>
    </row>
    <row r="13" spans="1:5" x14ac:dyDescent="0.25">
      <c r="A13" s="58">
        <v>22000</v>
      </c>
      <c r="B13" s="98">
        <v>15</v>
      </c>
      <c r="C13" s="58">
        <v>365851</v>
      </c>
      <c r="D13" s="58">
        <v>202085</v>
      </c>
      <c r="E13" s="58">
        <v>-54066</v>
      </c>
    </row>
    <row r="14" spans="1:5" x14ac:dyDescent="0.25">
      <c r="A14" s="67"/>
      <c r="B14" s="68"/>
      <c r="C14" s="67"/>
      <c r="D14" s="67"/>
    </row>
    <row r="15" spans="1:5" x14ac:dyDescent="0.25">
      <c r="A15" s="67"/>
      <c r="B15" s="68"/>
      <c r="C15" s="67"/>
      <c r="D15" s="67"/>
    </row>
    <row r="16" spans="1:5" x14ac:dyDescent="0.25">
      <c r="A16" s="67"/>
      <c r="B16" s="68"/>
      <c r="C16" s="67"/>
      <c r="D16" s="67"/>
    </row>
    <row r="17" spans="1:4" x14ac:dyDescent="0.25">
      <c r="A17" s="67"/>
      <c r="B17" s="68"/>
      <c r="C17" s="67"/>
      <c r="D17" s="67"/>
    </row>
    <row r="18" spans="1:4" x14ac:dyDescent="0.25">
      <c r="A18" s="67"/>
      <c r="B18" s="68"/>
      <c r="C18" s="67"/>
      <c r="D18" s="67"/>
    </row>
    <row r="19" spans="1:4" x14ac:dyDescent="0.25">
      <c r="A19" s="67"/>
      <c r="B19" s="68"/>
      <c r="C19" s="67"/>
      <c r="D19" s="67"/>
    </row>
    <row r="20" spans="1:4" x14ac:dyDescent="0.25">
      <c r="A20" s="67"/>
      <c r="B20" s="68"/>
      <c r="C20" s="67"/>
      <c r="D20" s="67"/>
    </row>
    <row r="21" spans="1:4" x14ac:dyDescent="0.25">
      <c r="A21" s="67"/>
      <c r="B21" s="68"/>
      <c r="C21" s="67"/>
      <c r="D21" s="67"/>
    </row>
    <row r="22" spans="1:4" x14ac:dyDescent="0.25">
      <c r="A22" s="67"/>
      <c r="B22" s="68"/>
      <c r="C22" s="67"/>
      <c r="D22" s="67"/>
    </row>
    <row r="23" spans="1:4" x14ac:dyDescent="0.25">
      <c r="A23" s="67"/>
      <c r="B23" s="68"/>
      <c r="C23" s="67"/>
      <c r="D23" s="67"/>
    </row>
    <row r="24" spans="1:4" x14ac:dyDescent="0.25">
      <c r="A24" s="67"/>
      <c r="B24" s="68"/>
      <c r="C24" s="67"/>
      <c r="D24" s="67"/>
    </row>
    <row r="25" spans="1:4" x14ac:dyDescent="0.25">
      <c r="A25" s="67"/>
      <c r="B25" s="68"/>
      <c r="C25" s="67"/>
      <c r="D25" s="67"/>
    </row>
    <row r="26" spans="1:4" x14ac:dyDescent="0.25">
      <c r="A26" s="67"/>
      <c r="B26" s="68"/>
      <c r="C26" s="67"/>
      <c r="D26" s="67"/>
    </row>
    <row r="27" spans="1:4" x14ac:dyDescent="0.25">
      <c r="A27" s="67"/>
      <c r="B27" s="68"/>
      <c r="C27" s="67"/>
      <c r="D27" s="67"/>
    </row>
    <row r="28" spans="1:4" x14ac:dyDescent="0.25">
      <c r="A28" s="67"/>
      <c r="B28" s="68"/>
      <c r="C28" s="67"/>
      <c r="D28" s="67"/>
    </row>
    <row r="29" spans="1:4" x14ac:dyDescent="0.25">
      <c r="A29" s="67"/>
      <c r="B29" s="68"/>
      <c r="C29" s="67"/>
      <c r="D29" s="67"/>
    </row>
    <row r="30" spans="1:4" x14ac:dyDescent="0.25">
      <c r="A30" s="69"/>
      <c r="B30" s="68"/>
      <c r="C30" s="67"/>
      <c r="D30" s="67"/>
    </row>
    <row r="31" spans="1:4" x14ac:dyDescent="0.25">
      <c r="A31" s="69"/>
      <c r="B31" s="69"/>
      <c r="C31" s="67"/>
      <c r="D31" s="67"/>
    </row>
    <row r="32" spans="1:4" x14ac:dyDescent="0.25">
      <c r="A32" s="69"/>
      <c r="B32" s="69"/>
      <c r="C32" s="67"/>
      <c r="D32" s="67"/>
    </row>
    <row r="33" spans="1:4" x14ac:dyDescent="0.25">
      <c r="A33" s="69"/>
      <c r="B33" s="69"/>
      <c r="C33" s="67"/>
      <c r="D33" s="67"/>
    </row>
    <row r="34" spans="1:4" x14ac:dyDescent="0.25">
      <c r="A34" s="69"/>
      <c r="B34" s="69"/>
      <c r="C34" s="69"/>
      <c r="D34" s="69"/>
    </row>
    <row r="35" spans="1:4" x14ac:dyDescent="0.25">
      <c r="A35" s="69"/>
      <c r="B35" s="69"/>
      <c r="C35" s="69"/>
      <c r="D35" s="69"/>
    </row>
    <row r="36" spans="1:4" x14ac:dyDescent="0.25">
      <c r="A36" s="69"/>
      <c r="B36" s="69"/>
      <c r="C36" s="69"/>
      <c r="D36" s="69"/>
    </row>
    <row r="37" spans="1:4" x14ac:dyDescent="0.25">
      <c r="A37" s="69"/>
      <c r="B37" s="69"/>
      <c r="C37" s="69"/>
      <c r="D37" s="69"/>
    </row>
    <row r="38" spans="1:4" x14ac:dyDescent="0.25">
      <c r="A38" s="69"/>
      <c r="B38" s="69"/>
      <c r="C38" s="69"/>
      <c r="D38" s="69"/>
    </row>
    <row r="39" spans="1:4" x14ac:dyDescent="0.25">
      <c r="A39" s="69"/>
      <c r="B39" s="69"/>
      <c r="C39" s="69"/>
      <c r="D39" s="69"/>
    </row>
    <row r="40" spans="1:4" x14ac:dyDescent="0.25">
      <c r="A40" s="69"/>
      <c r="B40" s="69"/>
      <c r="C40" s="69"/>
      <c r="D40" s="69"/>
    </row>
    <row r="41" spans="1:4" x14ac:dyDescent="0.25">
      <c r="A41" s="69"/>
      <c r="B41" s="69"/>
      <c r="C41" s="69"/>
      <c r="D41" s="69"/>
    </row>
    <row r="42" spans="1:4" x14ac:dyDescent="0.25">
      <c r="A42" s="69"/>
      <c r="B42" s="69"/>
      <c r="C42" s="69"/>
      <c r="D42" s="69"/>
    </row>
    <row r="43" spans="1:4" x14ac:dyDescent="0.25">
      <c r="A43" s="69"/>
      <c r="B43" s="69"/>
      <c r="C43" s="69"/>
      <c r="D43" s="69"/>
    </row>
    <row r="44" spans="1:4" x14ac:dyDescent="0.25">
      <c r="A44" s="69"/>
      <c r="B44" s="69"/>
      <c r="C44" s="69"/>
      <c r="D44" s="69"/>
    </row>
    <row r="45" spans="1:4" x14ac:dyDescent="0.25">
      <c r="A45" s="69"/>
      <c r="B45" s="69"/>
      <c r="C45" s="69"/>
      <c r="D45" s="69"/>
    </row>
    <row r="46" spans="1:4" x14ac:dyDescent="0.25">
      <c r="A46" s="69"/>
      <c r="B46" s="69"/>
      <c r="C46" s="69"/>
      <c r="D46" s="69"/>
    </row>
    <row r="47" spans="1:4" x14ac:dyDescent="0.25">
      <c r="A47" s="69"/>
      <c r="B47" s="69"/>
      <c r="C47" s="69"/>
      <c r="D47" s="69"/>
    </row>
    <row r="48" spans="1:4" x14ac:dyDescent="0.25">
      <c r="A48" s="69"/>
      <c r="B48" s="69"/>
      <c r="C48" s="69"/>
      <c r="D48" s="69"/>
    </row>
    <row r="49" spans="1:4" x14ac:dyDescent="0.25">
      <c r="A49" s="69"/>
      <c r="B49" s="69"/>
      <c r="C49" s="69"/>
      <c r="D49" s="69"/>
    </row>
    <row r="50" spans="1:4" x14ac:dyDescent="0.25">
      <c r="A50" s="69"/>
      <c r="B50" s="69"/>
      <c r="C50" s="69"/>
      <c r="D50" s="69"/>
    </row>
    <row r="51" spans="1:4" x14ac:dyDescent="0.25">
      <c r="A51" s="69"/>
      <c r="B51" s="69"/>
      <c r="C51" s="69"/>
      <c r="D51" s="69"/>
    </row>
    <row r="52" spans="1:4" x14ac:dyDescent="0.25">
      <c r="A52" s="69"/>
      <c r="B52" s="69"/>
      <c r="C52" s="69"/>
      <c r="D52" s="69"/>
    </row>
    <row r="53" spans="1:4" x14ac:dyDescent="0.25">
      <c r="A53" s="69"/>
      <c r="B53" s="69"/>
      <c r="C53" s="69"/>
      <c r="D53" s="69"/>
    </row>
    <row r="54" spans="1:4" x14ac:dyDescent="0.25">
      <c r="A54" s="69"/>
      <c r="B54" s="69"/>
      <c r="C54" s="69"/>
      <c r="D54" s="69"/>
    </row>
    <row r="55" spans="1:4" x14ac:dyDescent="0.25">
      <c r="A55" s="69"/>
      <c r="B55" s="69"/>
      <c r="C55" s="69"/>
      <c r="D55" s="69"/>
    </row>
    <row r="56" spans="1:4" x14ac:dyDescent="0.25">
      <c r="A56" s="69"/>
      <c r="B56" s="69"/>
      <c r="C56" s="69"/>
      <c r="D56" s="69"/>
    </row>
    <row r="57" spans="1:4" x14ac:dyDescent="0.25">
      <c r="A57" s="69"/>
      <c r="B57" s="69"/>
      <c r="C57" s="69"/>
      <c r="D57" s="69"/>
    </row>
    <row r="58" spans="1:4" x14ac:dyDescent="0.25">
      <c r="A58" s="69"/>
      <c r="B58" s="69"/>
      <c r="C58" s="69"/>
      <c r="D58" s="69"/>
    </row>
    <row r="59" spans="1:4" x14ac:dyDescent="0.25">
      <c r="A59" s="69"/>
      <c r="B59" s="69"/>
      <c r="C59" s="69"/>
      <c r="D59" s="69"/>
    </row>
    <row r="60" spans="1:4" x14ac:dyDescent="0.25">
      <c r="A60" s="66"/>
      <c r="B60" s="66"/>
      <c r="C60" s="66"/>
      <c r="D60" s="66"/>
    </row>
    <row r="61" spans="1:4" x14ac:dyDescent="0.25">
      <c r="A61" s="59"/>
      <c r="B61" s="59"/>
      <c r="C61" s="59"/>
      <c r="D61" s="59"/>
    </row>
    <row r="62" spans="1:4" x14ac:dyDescent="0.25">
      <c r="A62" s="59"/>
      <c r="B62" s="59"/>
      <c r="C62" s="59"/>
      <c r="D62" s="59"/>
    </row>
    <row r="63" spans="1:4" x14ac:dyDescent="0.25">
      <c r="A63" s="59"/>
      <c r="B63" s="59"/>
      <c r="C63" s="59"/>
      <c r="D63" s="59"/>
    </row>
    <row r="64" spans="1:4" x14ac:dyDescent="0.25">
      <c r="A64" s="59"/>
      <c r="B64" s="59"/>
      <c r="C64" s="59"/>
      <c r="D64" s="59"/>
    </row>
    <row r="65" spans="1:4" x14ac:dyDescent="0.25">
      <c r="A65" s="59"/>
      <c r="B65" s="59"/>
      <c r="C65" s="59"/>
      <c r="D65" s="59"/>
    </row>
    <row r="66" spans="1:4" x14ac:dyDescent="0.25">
      <c r="A66" s="59"/>
      <c r="B66" s="59"/>
      <c r="C66" s="59"/>
      <c r="D66" s="59"/>
    </row>
    <row r="67" spans="1:4" x14ac:dyDescent="0.25">
      <c r="A67" s="59"/>
      <c r="B67" s="59"/>
      <c r="C67" s="59"/>
      <c r="D67" s="59"/>
    </row>
    <row r="68" spans="1:4" x14ac:dyDescent="0.25">
      <c r="A68" s="59"/>
      <c r="B68" s="59"/>
      <c r="C68" s="59"/>
      <c r="D68" s="59"/>
    </row>
    <row r="69" spans="1:4" x14ac:dyDescent="0.25">
      <c r="A69" s="59"/>
      <c r="B69" s="59"/>
      <c r="C69" s="59"/>
      <c r="D69" s="59"/>
    </row>
    <row r="70" spans="1:4" x14ac:dyDescent="0.25">
      <c r="A70" s="59"/>
      <c r="B70" s="59"/>
      <c r="C70" s="59"/>
      <c r="D70" s="59"/>
    </row>
    <row r="71" spans="1:4" x14ac:dyDescent="0.25">
      <c r="A71" s="59"/>
      <c r="B71" s="59"/>
      <c r="C71" s="59"/>
      <c r="D71" s="59"/>
    </row>
    <row r="72" spans="1:4" x14ac:dyDescent="0.25">
      <c r="A72" s="59"/>
      <c r="B72" s="59"/>
      <c r="C72" s="59"/>
      <c r="D72" s="59"/>
    </row>
    <row r="73" spans="1:4" x14ac:dyDescent="0.25">
      <c r="A73" s="59"/>
      <c r="B73" s="59"/>
      <c r="C73" s="59"/>
      <c r="D73" s="59"/>
    </row>
    <row r="74" spans="1:4" x14ac:dyDescent="0.25">
      <c r="A74" s="59"/>
      <c r="B74" s="59"/>
      <c r="C74" s="59"/>
      <c r="D74" s="59"/>
    </row>
    <row r="75" spans="1:4" x14ac:dyDescent="0.25">
      <c r="A75" s="59"/>
      <c r="B75" s="59"/>
      <c r="C75" s="59"/>
      <c r="D75" s="59"/>
    </row>
    <row r="76" spans="1:4" x14ac:dyDescent="0.25">
      <c r="A76" s="59"/>
      <c r="B76" s="59"/>
      <c r="C76" s="59"/>
      <c r="D76" s="59"/>
    </row>
    <row r="77" spans="1:4" x14ac:dyDescent="0.25">
      <c r="A77" s="59"/>
      <c r="B77" s="59"/>
      <c r="C77" s="59"/>
      <c r="D77" s="59"/>
    </row>
    <row r="78" spans="1:4" x14ac:dyDescent="0.25">
      <c r="A78" s="59"/>
      <c r="B78" s="59"/>
      <c r="C78" s="59"/>
      <c r="D78" s="59"/>
    </row>
    <row r="79" spans="1:4" x14ac:dyDescent="0.25">
      <c r="A79" s="59"/>
      <c r="B79" s="59"/>
      <c r="C79" s="59"/>
      <c r="D79" s="59"/>
    </row>
    <row r="80" spans="1:4" x14ac:dyDescent="0.25">
      <c r="A80" s="59"/>
      <c r="B80" s="59"/>
      <c r="C80" s="59"/>
      <c r="D80" s="59"/>
    </row>
    <row r="81" spans="1:4" x14ac:dyDescent="0.25">
      <c r="A81" s="59"/>
      <c r="B81" s="59"/>
      <c r="C81" s="59"/>
      <c r="D81" s="59"/>
    </row>
    <row r="82" spans="1:4" x14ac:dyDescent="0.25">
      <c r="A82" s="59"/>
      <c r="B82" s="59"/>
      <c r="C82" s="59"/>
      <c r="D82" s="59"/>
    </row>
    <row r="83" spans="1:4" x14ac:dyDescent="0.25">
      <c r="A83" s="59"/>
      <c r="B83" s="59"/>
      <c r="C83" s="59"/>
      <c r="D83" s="59"/>
    </row>
    <row r="84" spans="1:4" x14ac:dyDescent="0.25">
      <c r="A84" s="59"/>
      <c r="B84" s="59"/>
      <c r="C84" s="59"/>
      <c r="D84" s="59"/>
    </row>
    <row r="85" spans="1:4" x14ac:dyDescent="0.25">
      <c r="A85" s="59"/>
      <c r="B85" s="59"/>
      <c r="C85" s="59"/>
      <c r="D85" s="59"/>
    </row>
    <row r="86" spans="1:4" x14ac:dyDescent="0.25">
      <c r="A86" s="59"/>
      <c r="B86" s="59"/>
      <c r="C86" s="59"/>
      <c r="D86" s="59"/>
    </row>
    <row r="87" spans="1:4" x14ac:dyDescent="0.25">
      <c r="A87" s="59"/>
      <c r="B87" s="59"/>
      <c r="C87" s="59"/>
      <c r="D87" s="59"/>
    </row>
    <row r="88" spans="1:4" x14ac:dyDescent="0.25">
      <c r="A88" s="59"/>
      <c r="B88" s="59"/>
      <c r="C88" s="59"/>
      <c r="D88" s="59"/>
    </row>
    <row r="89" spans="1:4" x14ac:dyDescent="0.25">
      <c r="A89" s="59"/>
      <c r="B89" s="59"/>
      <c r="C89" s="59"/>
      <c r="D89" s="59"/>
    </row>
    <row r="90" spans="1:4" x14ac:dyDescent="0.25">
      <c r="A90" s="59"/>
      <c r="B90" s="59"/>
      <c r="C90" s="59"/>
      <c r="D90" s="59"/>
    </row>
    <row r="91" spans="1:4" x14ac:dyDescent="0.25">
      <c r="A91" s="59"/>
      <c r="B91" s="59"/>
      <c r="C91" s="59"/>
      <c r="D91" s="59"/>
    </row>
    <row r="92" spans="1:4" x14ac:dyDescent="0.25">
      <c r="A92" s="59"/>
      <c r="B92" s="59"/>
      <c r="C92" s="59"/>
      <c r="D92" s="59"/>
    </row>
    <row r="93" spans="1:4" x14ac:dyDescent="0.25">
      <c r="A93" s="59"/>
      <c r="B93" s="59"/>
      <c r="C93" s="59"/>
      <c r="D93" s="59"/>
    </row>
    <row r="94" spans="1:4" x14ac:dyDescent="0.25">
      <c r="A94" s="59"/>
      <c r="B94" s="59"/>
      <c r="C94" s="59"/>
      <c r="D94" s="59"/>
    </row>
    <row r="95" spans="1:4" x14ac:dyDescent="0.25">
      <c r="A95" s="59"/>
      <c r="B95" s="59"/>
      <c r="C95" s="59"/>
      <c r="D95" s="59"/>
    </row>
    <row r="96" spans="1:4" x14ac:dyDescent="0.25">
      <c r="A96" s="59"/>
      <c r="B96" s="59"/>
      <c r="C96" s="59"/>
      <c r="D96" s="59"/>
    </row>
    <row r="97" spans="1:4" x14ac:dyDescent="0.25">
      <c r="A97" s="59"/>
      <c r="B97" s="59"/>
      <c r="C97" s="59"/>
      <c r="D97" s="59"/>
    </row>
    <row r="98" spans="1:4" x14ac:dyDescent="0.25">
      <c r="A98" s="59"/>
      <c r="B98" s="59"/>
      <c r="C98" s="59"/>
      <c r="D98" s="59"/>
    </row>
    <row r="99" spans="1:4" x14ac:dyDescent="0.25">
      <c r="A99" s="59"/>
      <c r="B99" s="59"/>
      <c r="C99" s="59"/>
      <c r="D99" s="59"/>
    </row>
    <row r="100" spans="1:4" x14ac:dyDescent="0.25">
      <c r="A100" s="59"/>
      <c r="B100" s="59"/>
      <c r="C100" s="59"/>
      <c r="D100" s="59"/>
    </row>
    <row r="101" spans="1:4" x14ac:dyDescent="0.25">
      <c r="A101" s="59"/>
      <c r="B101" s="59"/>
      <c r="C101" s="59"/>
      <c r="D101" s="59"/>
    </row>
    <row r="102" spans="1:4" x14ac:dyDescent="0.25">
      <c r="A102" s="59"/>
      <c r="B102" s="59"/>
      <c r="C102" s="59"/>
      <c r="D102" s="59"/>
    </row>
    <row r="103" spans="1:4" x14ac:dyDescent="0.25">
      <c r="A103" s="59"/>
      <c r="B103" s="59"/>
      <c r="C103" s="59"/>
      <c r="D103" s="59"/>
    </row>
    <row r="104" spans="1:4" x14ac:dyDescent="0.25">
      <c r="A104" s="59"/>
      <c r="B104" s="59"/>
      <c r="C104" s="59"/>
      <c r="D104" s="59"/>
    </row>
    <row r="105" spans="1:4" x14ac:dyDescent="0.25">
      <c r="A105" s="59"/>
      <c r="B105" s="59"/>
      <c r="C105" s="59"/>
      <c r="D105" s="59"/>
    </row>
    <row r="106" spans="1:4" x14ac:dyDescent="0.25">
      <c r="A106" s="59"/>
      <c r="B106" s="59"/>
      <c r="C106" s="59"/>
      <c r="D106" s="59"/>
    </row>
    <row r="107" spans="1:4" x14ac:dyDescent="0.25">
      <c r="A107" s="59"/>
      <c r="B107" s="59"/>
      <c r="C107" s="59"/>
      <c r="D107" s="59"/>
    </row>
    <row r="108" spans="1:4" x14ac:dyDescent="0.25">
      <c r="A108" s="59"/>
      <c r="B108" s="59"/>
      <c r="C108" s="59"/>
      <c r="D108" s="59"/>
    </row>
    <row r="109" spans="1:4" x14ac:dyDescent="0.25">
      <c r="A109" s="59"/>
      <c r="B109" s="59"/>
      <c r="C109" s="59"/>
      <c r="D109" s="59"/>
    </row>
    <row r="110" spans="1:4" x14ac:dyDescent="0.25">
      <c r="A110" s="59"/>
      <c r="B110" s="59"/>
      <c r="C110" s="59"/>
      <c r="D110" s="59"/>
    </row>
    <row r="111" spans="1:4" x14ac:dyDescent="0.25">
      <c r="A111" s="59"/>
      <c r="B111" s="59"/>
      <c r="C111" s="59"/>
      <c r="D111" s="59"/>
    </row>
    <row r="112" spans="1:4" x14ac:dyDescent="0.25">
      <c r="A112" s="59"/>
      <c r="B112" s="59"/>
      <c r="C112" s="59"/>
      <c r="D112" s="59"/>
    </row>
    <row r="113" spans="1:4" x14ac:dyDescent="0.25">
      <c r="A113" s="59"/>
      <c r="B113" s="59"/>
      <c r="C113" s="59"/>
      <c r="D113" s="59"/>
    </row>
    <row r="114" spans="1:4" x14ac:dyDescent="0.25">
      <c r="A114" s="59"/>
      <c r="B114" s="59"/>
      <c r="C114" s="59"/>
      <c r="D114" s="59"/>
    </row>
    <row r="115" spans="1:4" x14ac:dyDescent="0.25">
      <c r="A115" s="59"/>
      <c r="B115" s="59"/>
      <c r="C115" s="59"/>
      <c r="D115" s="59"/>
    </row>
    <row r="116" spans="1:4" x14ac:dyDescent="0.25">
      <c r="A116" s="59"/>
      <c r="B116" s="59"/>
      <c r="C116" s="59"/>
      <c r="D116" s="59"/>
    </row>
    <row r="117" spans="1:4" x14ac:dyDescent="0.25">
      <c r="A117" s="59"/>
      <c r="B117" s="59"/>
      <c r="C117" s="59"/>
      <c r="D117" s="59"/>
    </row>
    <row r="118" spans="1:4" x14ac:dyDescent="0.25">
      <c r="A118" s="59"/>
      <c r="B118" s="59"/>
      <c r="C118" s="59"/>
      <c r="D118" s="59"/>
    </row>
    <row r="119" spans="1:4" x14ac:dyDescent="0.25">
      <c r="A119" s="59"/>
      <c r="B119" s="59"/>
      <c r="C119" s="59"/>
      <c r="D119" s="59"/>
    </row>
    <row r="120" spans="1:4" x14ac:dyDescent="0.25">
      <c r="A120" s="59"/>
      <c r="B120" s="59"/>
      <c r="C120" s="59"/>
      <c r="D120" s="59"/>
    </row>
  </sheetData>
  <mergeCells count="3">
    <mergeCell ref="C6:D6"/>
    <mergeCell ref="A2:E2"/>
    <mergeCell ref="A1:E1"/>
  </mergeCells>
  <phoneticPr fontId="1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75" workbookViewId="0">
      <selection activeCell="M4" sqref="M4"/>
    </sheetView>
  </sheetViews>
  <sheetFormatPr defaultRowHeight="12.75" x14ac:dyDescent="0.2"/>
  <cols>
    <col min="1" max="1" width="42.5703125" bestFit="1" customWidth="1"/>
    <col min="2" max="2" width="10.85546875" bestFit="1" customWidth="1"/>
    <col min="3" max="9" width="9.7109375" bestFit="1" customWidth="1"/>
  </cols>
  <sheetData>
    <row r="1" spans="1:9" ht="18" x14ac:dyDescent="0.25">
      <c r="A1" s="102" t="s">
        <v>66</v>
      </c>
      <c r="B1" s="102"/>
      <c r="C1" s="102"/>
      <c r="D1" s="102"/>
      <c r="E1" s="102"/>
      <c r="F1" s="102"/>
      <c r="G1" s="102"/>
      <c r="H1" s="102"/>
      <c r="I1" s="102"/>
    </row>
    <row r="2" spans="1:9" ht="26.25" x14ac:dyDescent="0.4">
      <c r="A2" s="103" t="s">
        <v>24</v>
      </c>
      <c r="B2" s="103"/>
      <c r="C2" s="103"/>
      <c r="D2" s="103"/>
      <c r="E2" s="103"/>
      <c r="F2" s="103"/>
      <c r="G2" s="103"/>
      <c r="H2" s="103"/>
      <c r="I2" s="103"/>
    </row>
    <row r="3" spans="1:9" ht="26.25" x14ac:dyDescent="0.4">
      <c r="A3" s="103" t="s">
        <v>25</v>
      </c>
      <c r="B3" s="103"/>
      <c r="C3" s="103"/>
      <c r="D3" s="103"/>
      <c r="E3" s="103"/>
      <c r="F3" s="103"/>
      <c r="G3" s="103"/>
      <c r="H3" s="103"/>
      <c r="I3" s="103"/>
    </row>
    <row r="4" spans="1:9" ht="26.25" x14ac:dyDescent="0.4">
      <c r="A4" s="37"/>
      <c r="B4" s="37"/>
      <c r="C4" s="37"/>
      <c r="D4" s="37"/>
      <c r="E4" s="37"/>
      <c r="F4" s="37"/>
      <c r="G4" s="37"/>
      <c r="H4" s="37"/>
      <c r="I4" s="37"/>
    </row>
    <row r="5" spans="1:9" ht="26.25" x14ac:dyDescent="0.4">
      <c r="A5" s="37"/>
      <c r="B5" s="37"/>
      <c r="C5" s="37"/>
      <c r="D5" s="37"/>
      <c r="E5" s="37"/>
      <c r="F5" s="37"/>
      <c r="G5" s="37"/>
      <c r="H5" s="37"/>
      <c r="I5" s="37"/>
    </row>
    <row r="6" spans="1:9" x14ac:dyDescent="0.2">
      <c r="A6" s="46" t="s">
        <v>18</v>
      </c>
      <c r="B6" s="104" t="s">
        <v>9</v>
      </c>
      <c r="C6" s="105"/>
      <c r="D6" s="105"/>
      <c r="E6" s="105"/>
      <c r="F6" s="105"/>
      <c r="G6" s="105"/>
      <c r="H6" s="105"/>
      <c r="I6" s="105"/>
    </row>
    <row r="7" spans="1:9" x14ac:dyDescent="0.2">
      <c r="A7" s="60" t="s">
        <v>0</v>
      </c>
      <c r="B7" s="53">
        <v>0</v>
      </c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</row>
    <row r="8" spans="1:9" x14ac:dyDescent="0.2">
      <c r="A8" s="61"/>
      <c r="B8" s="54" t="s">
        <v>7</v>
      </c>
      <c r="C8" s="35" t="s">
        <v>8</v>
      </c>
      <c r="D8" s="35" t="s">
        <v>27</v>
      </c>
      <c r="E8" s="35" t="s">
        <v>28</v>
      </c>
      <c r="F8" s="35" t="s">
        <v>29</v>
      </c>
      <c r="G8" s="35" t="s">
        <v>30</v>
      </c>
      <c r="H8" s="35" t="s">
        <v>31</v>
      </c>
      <c r="I8" s="35" t="s">
        <v>32</v>
      </c>
    </row>
    <row r="9" spans="1:9" x14ac:dyDescent="0.2">
      <c r="A9" s="62" t="s">
        <v>50</v>
      </c>
      <c r="B9" s="63">
        <v>62196</v>
      </c>
      <c r="C9" s="63">
        <f t="shared" ref="C9:I9" si="0">B9*(1+C17)</f>
        <v>62817.96</v>
      </c>
      <c r="D9" s="63">
        <f t="shared" si="0"/>
        <v>63760.229399999997</v>
      </c>
      <c r="E9" s="63">
        <f t="shared" si="0"/>
        <v>65035.433987999997</v>
      </c>
      <c r="F9" s="63">
        <f t="shared" si="0"/>
        <v>66336.142667759996</v>
      </c>
      <c r="G9" s="63">
        <f t="shared" si="0"/>
        <v>67662.865521115193</v>
      </c>
      <c r="H9" s="63">
        <f t="shared" si="0"/>
        <v>69016.122831537505</v>
      </c>
      <c r="I9" s="63">
        <f t="shared" si="0"/>
        <v>70396.445288168252</v>
      </c>
    </row>
    <row r="10" spans="1:9" x14ac:dyDescent="0.2">
      <c r="A10" s="64" t="s">
        <v>10</v>
      </c>
      <c r="B10" s="63">
        <v>2825</v>
      </c>
      <c r="C10" s="63">
        <v>2825</v>
      </c>
      <c r="D10" s="63">
        <v>2825</v>
      </c>
      <c r="E10" s="63">
        <v>2825</v>
      </c>
      <c r="F10" s="63">
        <v>2825</v>
      </c>
      <c r="G10" s="63">
        <v>2825</v>
      </c>
      <c r="H10" s="63">
        <v>2825</v>
      </c>
      <c r="I10" s="63">
        <v>2825</v>
      </c>
    </row>
    <row r="11" spans="1:9" x14ac:dyDescent="0.2">
      <c r="A11" s="64" t="s">
        <v>48</v>
      </c>
      <c r="B11" s="63">
        <f t="shared" ref="B11:I11" si="1">SUM(B9:B10)</f>
        <v>65021</v>
      </c>
      <c r="C11" s="63">
        <f t="shared" si="1"/>
        <v>65642.959999999992</v>
      </c>
      <c r="D11" s="63">
        <f t="shared" si="1"/>
        <v>66585.229399999997</v>
      </c>
      <c r="E11" s="63">
        <f t="shared" si="1"/>
        <v>67860.433988000004</v>
      </c>
      <c r="F11" s="63">
        <f t="shared" si="1"/>
        <v>69161.142667759996</v>
      </c>
      <c r="G11" s="63">
        <f t="shared" si="1"/>
        <v>70487.865521115193</v>
      </c>
      <c r="H11" s="63">
        <f t="shared" si="1"/>
        <v>71841.122831537505</v>
      </c>
      <c r="I11" s="63">
        <f t="shared" si="1"/>
        <v>73221.445288168252</v>
      </c>
    </row>
    <row r="12" spans="1:9" x14ac:dyDescent="0.2">
      <c r="A12" s="64" t="s">
        <v>39</v>
      </c>
      <c r="B12" s="65" t="s">
        <v>40</v>
      </c>
      <c r="C12" s="63">
        <f>'Plan Cost'!D7</f>
        <v>38071</v>
      </c>
      <c r="D12" s="63">
        <f>'Plan Cost'!E8</f>
        <v>40253</v>
      </c>
      <c r="E12" s="63">
        <f>'Plan Cost'!F9</f>
        <v>42700</v>
      </c>
      <c r="F12" s="63">
        <f>'Plan Cost'!G10</f>
        <v>45229</v>
      </c>
      <c r="G12" s="63">
        <f>'Plan Cost'!H11</f>
        <v>48184</v>
      </c>
      <c r="H12" s="63">
        <f>'Plan Cost'!I12</f>
        <v>51238</v>
      </c>
      <c r="I12" s="63">
        <f>46176*(1+C17)*(1+D17)*(1+E17)*(1+F17)*(1+G17)*(1+H17)*(1+I17)</f>
        <v>52264.233353052572</v>
      </c>
    </row>
    <row r="13" spans="1:9" x14ac:dyDescent="0.2">
      <c r="A13" s="64" t="s">
        <v>41</v>
      </c>
      <c r="B13" s="65" t="s">
        <v>40</v>
      </c>
      <c r="C13" s="63">
        <f>'Plan Cost'!D7</f>
        <v>38071</v>
      </c>
      <c r="D13" s="63">
        <f>'Plan Cost'!E7</f>
        <v>38642</v>
      </c>
      <c r="E13" s="63">
        <f>'Plan Cost'!F7</f>
        <v>39415</v>
      </c>
      <c r="F13" s="63">
        <f>'Plan Cost'!G7</f>
        <v>40204</v>
      </c>
      <c r="G13" s="63">
        <f>'Plan Cost'!H7</f>
        <v>41008</v>
      </c>
      <c r="H13" s="63">
        <f>'Plan Cost'!I7</f>
        <v>41827</v>
      </c>
      <c r="I13" s="63">
        <f>'Plan Cost'!J7</f>
        <v>42664</v>
      </c>
    </row>
    <row r="14" spans="1:9" x14ac:dyDescent="0.2">
      <c r="A14" s="36" t="s">
        <v>1</v>
      </c>
      <c r="B14" s="40">
        <v>0.1487</v>
      </c>
      <c r="C14" s="41">
        <v>0.16800000000000001</v>
      </c>
      <c r="D14" s="41">
        <v>0.189</v>
      </c>
      <c r="E14" s="41">
        <v>0.20300000000000001</v>
      </c>
      <c r="F14" s="41">
        <v>0.21199999999999999</v>
      </c>
      <c r="G14" s="41">
        <v>0.217</v>
      </c>
      <c r="H14" s="41">
        <v>0.224</v>
      </c>
      <c r="I14" s="41">
        <v>0.23100000000000001</v>
      </c>
    </row>
    <row r="15" spans="1:9" x14ac:dyDescent="0.2">
      <c r="A15" s="42" t="s">
        <v>11</v>
      </c>
      <c r="B15" s="43">
        <v>7.6499999999999999E-2</v>
      </c>
      <c r="C15" s="43">
        <v>7.6499999999999999E-2</v>
      </c>
      <c r="D15" s="43">
        <v>7.6499999999999999E-2</v>
      </c>
      <c r="E15" s="43">
        <v>7.6499999999999999E-2</v>
      </c>
      <c r="F15" s="43">
        <v>7.6499999999999999E-2</v>
      </c>
      <c r="G15" s="43">
        <v>7.6499999999999999E-2</v>
      </c>
      <c r="H15" s="43">
        <v>7.6499999999999999E-2</v>
      </c>
      <c r="I15" s="43">
        <v>7.6499999999999999E-2</v>
      </c>
    </row>
    <row r="16" spans="1:9" x14ac:dyDescent="0.2">
      <c r="A16" s="44" t="s">
        <v>2</v>
      </c>
      <c r="B16" s="79">
        <v>25000</v>
      </c>
      <c r="C16" s="3"/>
      <c r="D16" s="3"/>
      <c r="E16" s="3"/>
      <c r="F16" s="3"/>
      <c r="G16" s="3"/>
      <c r="H16" s="3"/>
      <c r="I16" s="3"/>
    </row>
    <row r="17" spans="1:9" x14ac:dyDescent="0.2">
      <c r="A17" s="44" t="s">
        <v>6</v>
      </c>
      <c r="B17" s="45">
        <v>0</v>
      </c>
      <c r="C17" s="45">
        <v>0.01</v>
      </c>
      <c r="D17" s="45">
        <v>1.4999999999999999E-2</v>
      </c>
      <c r="E17" s="45">
        <v>0.02</v>
      </c>
      <c r="F17" s="45">
        <v>0.02</v>
      </c>
      <c r="G17" s="45">
        <v>0.02</v>
      </c>
      <c r="H17" s="45">
        <v>0.02</v>
      </c>
      <c r="I17" s="45">
        <v>0.02</v>
      </c>
    </row>
    <row r="18" spans="1:9" x14ac:dyDescent="0.2">
      <c r="A18" s="44" t="s">
        <v>3</v>
      </c>
      <c r="B18" s="78">
        <v>18</v>
      </c>
      <c r="C18" s="71"/>
      <c r="D18" s="71"/>
      <c r="E18" s="71"/>
      <c r="F18" s="71"/>
      <c r="G18" s="71"/>
      <c r="H18" s="71"/>
      <c r="I18" s="71"/>
    </row>
    <row r="19" spans="1:9" x14ac:dyDescent="0.2">
      <c r="A19" s="44" t="s">
        <v>4</v>
      </c>
      <c r="B19" s="78">
        <v>5</v>
      </c>
      <c r="C19" s="78">
        <v>4</v>
      </c>
      <c r="D19" s="78">
        <v>4</v>
      </c>
      <c r="E19" s="78">
        <v>5</v>
      </c>
      <c r="F19" s="78">
        <v>0</v>
      </c>
      <c r="G19" s="78">
        <v>0</v>
      </c>
      <c r="H19" s="78">
        <v>0</v>
      </c>
      <c r="I19" s="78">
        <v>0</v>
      </c>
    </row>
    <row r="20" spans="1:9" x14ac:dyDescent="0.2">
      <c r="A20" s="3" t="s">
        <v>26</v>
      </c>
      <c r="B20" s="71">
        <f>'Cost Sheet'!B24</f>
        <v>5</v>
      </c>
      <c r="C20" s="71">
        <f>B20+'Cost Sheet'!C24</f>
        <v>9</v>
      </c>
      <c r="D20" s="71">
        <f>C20+'Cost Sheet'!D24</f>
        <v>13</v>
      </c>
      <c r="E20" s="71">
        <f>D20+'Cost Sheet'!E24</f>
        <v>18</v>
      </c>
      <c r="F20" s="71">
        <f>E20+'Cost Sheet'!F24</f>
        <v>18</v>
      </c>
      <c r="G20" s="71">
        <f>F20+'Cost Sheet'!G24</f>
        <v>18</v>
      </c>
      <c r="H20" s="71">
        <f>G20+'Cost Sheet'!H24</f>
        <v>18</v>
      </c>
      <c r="I20" s="71">
        <f>H20</f>
        <v>18</v>
      </c>
    </row>
    <row r="21" spans="1:9" ht="13.5" thickBot="1" x14ac:dyDescent="0.25"/>
    <row r="22" spans="1:9" ht="20.25" x14ac:dyDescent="0.3">
      <c r="A22" s="73" t="s">
        <v>58</v>
      </c>
    </row>
    <row r="23" spans="1:9" ht="21" thickBot="1" x14ac:dyDescent="0.35">
      <c r="A23" s="74">
        <f>'Cost Sheet'!B17</f>
        <v>419643.65459999989</v>
      </c>
    </row>
    <row r="24" spans="1:9" ht="20.25" x14ac:dyDescent="0.3">
      <c r="A24" s="73" t="s">
        <v>62</v>
      </c>
    </row>
    <row r="25" spans="1:9" ht="21" thickBot="1" x14ac:dyDescent="0.35">
      <c r="A25" s="75">
        <f>'Cost Sheet'!B39</f>
        <v>255878.41259999987</v>
      </c>
    </row>
    <row r="26" spans="1:9" ht="20.25" x14ac:dyDescent="0.3">
      <c r="A26" s="76" t="s">
        <v>61</v>
      </c>
    </row>
    <row r="27" spans="1:9" ht="21" thickBot="1" x14ac:dyDescent="0.35">
      <c r="A27" s="77">
        <f>'Cost Sheet'!H39</f>
        <v>798.20827940723393</v>
      </c>
    </row>
  </sheetData>
  <mergeCells count="4">
    <mergeCell ref="A1:I1"/>
    <mergeCell ref="A2:I2"/>
    <mergeCell ref="A3:I3"/>
    <mergeCell ref="B6:I6"/>
  </mergeCells>
  <phoneticPr fontId="10" type="noConversion"/>
  <printOptions horizontalCentered="1"/>
  <pageMargins left="0.51" right="0.5" top="1" bottom="1" header="0.5" footer="0.5"/>
  <pageSetup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zoomScale="75" workbookViewId="0">
      <selection activeCell="L8" sqref="L8"/>
    </sheetView>
  </sheetViews>
  <sheetFormatPr defaultRowHeight="12.75" x14ac:dyDescent="0.2"/>
  <cols>
    <col min="1" max="1" width="33.42578125" style="7" bestFit="1" customWidth="1"/>
    <col min="2" max="2" width="13.42578125" style="7" bestFit="1" customWidth="1"/>
    <col min="3" max="4" width="13.140625" style="7" bestFit="1" customWidth="1"/>
    <col min="5" max="5" width="13.85546875" style="7" bestFit="1" customWidth="1"/>
    <col min="6" max="8" width="13.42578125" style="7" bestFit="1" customWidth="1"/>
    <col min="9" max="9" width="9.140625" style="7"/>
    <col min="10" max="10" width="11.7109375" style="7" bestFit="1" customWidth="1"/>
    <col min="11" max="16384" width="9.140625" style="7"/>
  </cols>
  <sheetData>
    <row r="1" spans="1:8" ht="18" x14ac:dyDescent="0.25">
      <c r="A1" s="102" t="s">
        <v>66</v>
      </c>
      <c r="B1" s="102"/>
      <c r="C1" s="102"/>
      <c r="D1" s="102"/>
      <c r="E1" s="102"/>
      <c r="F1" s="102"/>
      <c r="G1" s="102"/>
      <c r="H1" s="102"/>
    </row>
    <row r="2" spans="1:8" ht="26.25" x14ac:dyDescent="0.4">
      <c r="A2" s="103" t="s">
        <v>24</v>
      </c>
      <c r="B2" s="103"/>
      <c r="C2" s="103"/>
      <c r="D2" s="103"/>
      <c r="E2" s="103"/>
      <c r="F2" s="103"/>
      <c r="G2" s="103"/>
      <c r="H2" s="103"/>
    </row>
    <row r="3" spans="1:8" ht="26.25" x14ac:dyDescent="0.4">
      <c r="A3" s="103" t="s">
        <v>25</v>
      </c>
      <c r="B3" s="103"/>
      <c r="C3" s="103"/>
      <c r="D3" s="103"/>
      <c r="E3" s="103"/>
      <c r="F3" s="103"/>
      <c r="G3" s="103"/>
      <c r="H3" s="103"/>
    </row>
    <row r="6" spans="1:8" x14ac:dyDescent="0.2">
      <c r="A6" s="46" t="s">
        <v>17</v>
      </c>
    </row>
    <row r="7" spans="1:8" x14ac:dyDescent="0.2">
      <c r="A7" s="88" t="s">
        <v>5</v>
      </c>
    </row>
    <row r="8" spans="1:8" x14ac:dyDescent="0.2">
      <c r="A8" s="88"/>
      <c r="B8" s="110" t="s">
        <v>9</v>
      </c>
      <c r="C8" s="110"/>
      <c r="D8" s="110"/>
      <c r="E8" s="110"/>
      <c r="F8" s="110"/>
      <c r="G8" s="110"/>
      <c r="H8" s="108"/>
    </row>
    <row r="9" spans="1:8" s="34" customFormat="1" x14ac:dyDescent="0.2">
      <c r="A9" s="91"/>
      <c r="B9" s="84">
        <v>1</v>
      </c>
      <c r="C9" s="47">
        <v>2</v>
      </c>
      <c r="D9" s="47">
        <v>3</v>
      </c>
      <c r="E9" s="47">
        <v>4</v>
      </c>
      <c r="F9" s="47">
        <v>5</v>
      </c>
      <c r="G9" s="47">
        <v>6</v>
      </c>
      <c r="H9" s="47">
        <v>7</v>
      </c>
    </row>
    <row r="10" spans="1:8" s="34" customFormat="1" x14ac:dyDescent="0.2">
      <c r="A10" s="92"/>
      <c r="B10" s="84" t="s">
        <v>8</v>
      </c>
      <c r="C10" s="47" t="s">
        <v>27</v>
      </c>
      <c r="D10" s="47" t="s">
        <v>28</v>
      </c>
      <c r="E10" s="47" t="s">
        <v>29</v>
      </c>
      <c r="F10" s="47" t="s">
        <v>30</v>
      </c>
      <c r="G10" s="47" t="s">
        <v>31</v>
      </c>
      <c r="H10" s="47" t="s">
        <v>32</v>
      </c>
    </row>
    <row r="11" spans="1:8" x14ac:dyDescent="0.2">
      <c r="A11" s="80" t="s">
        <v>49</v>
      </c>
      <c r="B11" s="81">
        <f>(Assumptions!B9+Assumptions!B10)*(1+Assumptions!B14+Assumptions!B15)*Assumptions!$B$18</f>
        <v>1433947.1255999999</v>
      </c>
      <c r="C11" s="81">
        <f>(Assumptions!C9+Assumptions!C10)*(1+Assumptions!C14+Assumptions!C15)*Assumptions!$B$18</f>
        <v>1470467.9469599996</v>
      </c>
      <c r="D11" s="81">
        <f>(Assumptions!D9+Assumptions!D10)*(1+Assumptions!D14+Assumptions!D15)*Assumptions!$B$18</f>
        <v>1516744.9405026</v>
      </c>
      <c r="E11" s="81">
        <f>(Assumptions!E9+Assumptions!E10)*(1+Assumptions!E14+Assumptions!E15)*Assumptions!$B$18</f>
        <v>1562893.6551776282</v>
      </c>
      <c r="F11" s="81">
        <f>(Assumptions!F9+Assumptions!F10)*(1+Assumptions!F14+Assumptions!F15)*Assumptions!$B$18</f>
        <v>1604054.3818933575</v>
      </c>
      <c r="G11" s="81">
        <f>(Assumptions!G9+Assumptions!G10)*(1+Assumptions!G14+Assumptions!G15)*Assumptions!$B$18</f>
        <v>1641168.9729281249</v>
      </c>
      <c r="H11" s="81">
        <f>(Assumptions!H9+Assumptions!H10)*(1+Assumptions!H14+Assumptions!H15)*Assumptions!$B$18</f>
        <v>1681728.8443634615</v>
      </c>
    </row>
    <row r="12" spans="1:8" x14ac:dyDescent="0.2">
      <c r="A12" s="3" t="s">
        <v>33</v>
      </c>
      <c r="B12" s="82">
        <f>Assumptions!$B$18*(1+Assumptions!C14+Assumptions!C15)*Assumptions!C12*-1</f>
        <v>-852828.47100000002</v>
      </c>
      <c r="C12" s="82">
        <f>Assumptions!$B$18*(1+Assumptions!D14+Assumptions!D15)*Assumptions!D12*-1</f>
        <v>-916923.08699999994</v>
      </c>
      <c r="D12" s="82">
        <f>Assumptions!$B$18*(1+Assumptions!E14+Assumptions!E15)*Assumptions!E12*-1</f>
        <v>-983423.70000000007</v>
      </c>
      <c r="E12" s="82">
        <f>Assumptions!$B$18*(1+Assumptions!F14+Assumptions!F15)*Assumptions!F12*-1</f>
        <v>-1048996.1969999999</v>
      </c>
      <c r="F12" s="82">
        <f>Assumptions!$B$18*(1+Assumptions!G14+Assumptions!G15)*Assumptions!G12*-1</f>
        <v>-1121868.0720000002</v>
      </c>
      <c r="G12" s="82">
        <f>Assumptions!$B$18*(1+Assumptions!H14+Assumptions!H15)*Assumptions!H12*-1</f>
        <v>-1199430.3419999999</v>
      </c>
      <c r="H12" s="82">
        <f>Assumptions!$B$18*(1+Assumptions!I14+Assumptions!I15)*Assumptions!I12*-1</f>
        <v>-1230038.7319640925</v>
      </c>
    </row>
    <row r="13" spans="1:8" x14ac:dyDescent="0.2">
      <c r="A13" s="50" t="s">
        <v>13</v>
      </c>
      <c r="B13" s="51">
        <f t="shared" ref="B13:H13" si="0">SUM(B11:B12)</f>
        <v>581118.65459999989</v>
      </c>
      <c r="C13" s="51">
        <f t="shared" si="0"/>
        <v>553544.85995999968</v>
      </c>
      <c r="D13" s="51">
        <f t="shared" si="0"/>
        <v>533321.24050259998</v>
      </c>
      <c r="E13" s="51">
        <f t="shared" si="0"/>
        <v>513897.45817762823</v>
      </c>
      <c r="F13" s="51">
        <f t="shared" si="0"/>
        <v>482186.30989335733</v>
      </c>
      <c r="G13" s="51">
        <f t="shared" si="0"/>
        <v>441738.630928125</v>
      </c>
      <c r="H13" s="51">
        <f t="shared" si="0"/>
        <v>451690.11239936901</v>
      </c>
    </row>
    <row r="14" spans="1:8" x14ac:dyDescent="0.2">
      <c r="A14" s="50" t="s">
        <v>12</v>
      </c>
      <c r="B14" s="51">
        <f>(Assumptions!B16/3)*Assumptions!B18*-1</f>
        <v>-150000</v>
      </c>
      <c r="C14" s="51">
        <f>B14</f>
        <v>-150000</v>
      </c>
      <c r="D14" s="51">
        <f>C14</f>
        <v>-150000</v>
      </c>
      <c r="E14" s="51"/>
      <c r="F14" s="51"/>
      <c r="G14" s="50"/>
      <c r="H14" s="50"/>
    </row>
    <row r="15" spans="1:8" x14ac:dyDescent="0.2">
      <c r="A15" s="50" t="s">
        <v>52</v>
      </c>
      <c r="B15" s="51">
        <f>B14*0.0765</f>
        <v>-11475</v>
      </c>
      <c r="C15" s="51">
        <f>C14*0.0765</f>
        <v>-11475</v>
      </c>
      <c r="D15" s="51">
        <f>D14*0.0765</f>
        <v>-11475</v>
      </c>
      <c r="E15" s="51"/>
      <c r="F15" s="51"/>
      <c r="G15" s="50"/>
      <c r="H15" s="50"/>
    </row>
    <row r="16" spans="1:8" x14ac:dyDescent="0.2">
      <c r="A16" s="50" t="s">
        <v>14</v>
      </c>
      <c r="B16" s="52">
        <f>SUM(B13:B15)</f>
        <v>419643.65459999989</v>
      </c>
      <c r="C16" s="52">
        <f>SUM(C13:C15)</f>
        <v>392069.85995999968</v>
      </c>
      <c r="D16" s="52">
        <f>SUM(D13:D15)</f>
        <v>371846.24050259998</v>
      </c>
      <c r="E16" s="52">
        <f>SUM(E13:E15)</f>
        <v>513897.45817762823</v>
      </c>
      <c r="F16" s="52">
        <f>SUM(F13:F15)</f>
        <v>482186.30989335733</v>
      </c>
      <c r="G16" s="52">
        <f>SUM(G13:G14)</f>
        <v>441738.630928125</v>
      </c>
      <c r="H16" s="52">
        <f>SUM(H13:H14)</f>
        <v>451690.11239936901</v>
      </c>
    </row>
    <row r="17" spans="1:8" x14ac:dyDescent="0.2">
      <c r="A17" s="38" t="s">
        <v>64</v>
      </c>
      <c r="B17" s="39">
        <f>B16</f>
        <v>419643.65459999989</v>
      </c>
      <c r="C17" s="39">
        <f>C16+B17</f>
        <v>811713.51455999957</v>
      </c>
      <c r="D17" s="39">
        <f>SUM(B16:D16)</f>
        <v>1183559.7550625997</v>
      </c>
      <c r="E17" s="39">
        <f>SUM(B16:E16)</f>
        <v>1697457.2132402279</v>
      </c>
      <c r="F17" s="39">
        <f>SUM(B16:F16)</f>
        <v>2179643.5231335852</v>
      </c>
      <c r="G17" s="39">
        <f>SUM(B16:G16)</f>
        <v>2621382.1540617105</v>
      </c>
      <c r="H17" s="39">
        <f>SUM(B16:H16)</f>
        <v>3073072.2664610795</v>
      </c>
    </row>
    <row r="18" spans="1:8" ht="27.75" customHeight="1" x14ac:dyDescent="0.2"/>
    <row r="19" spans="1:8" x14ac:dyDescent="0.2">
      <c r="A19" s="87" t="s">
        <v>16</v>
      </c>
    </row>
    <row r="20" spans="1:8" x14ac:dyDescent="0.2">
      <c r="A20" s="88" t="s">
        <v>4</v>
      </c>
    </row>
    <row r="21" spans="1:8" x14ac:dyDescent="0.2">
      <c r="A21" s="89"/>
      <c r="B21" s="106" t="s">
        <v>9</v>
      </c>
      <c r="C21" s="107"/>
      <c r="D21" s="107"/>
      <c r="E21" s="107"/>
      <c r="F21" s="107"/>
      <c r="G21" s="107"/>
      <c r="H21" s="107"/>
    </row>
    <row r="22" spans="1:8" x14ac:dyDescent="0.2">
      <c r="A22" s="89"/>
      <c r="B22" s="84">
        <v>1</v>
      </c>
      <c r="C22" s="47">
        <v>2</v>
      </c>
      <c r="D22" s="47">
        <v>3</v>
      </c>
      <c r="E22" s="47">
        <v>4</v>
      </c>
      <c r="F22" s="47">
        <v>5</v>
      </c>
      <c r="G22" s="47">
        <v>6</v>
      </c>
      <c r="H22" s="47">
        <v>7</v>
      </c>
    </row>
    <row r="23" spans="1:8" x14ac:dyDescent="0.2">
      <c r="A23" s="90"/>
      <c r="B23" s="85" t="s">
        <v>8</v>
      </c>
      <c r="C23" s="86" t="s">
        <v>27</v>
      </c>
      <c r="D23" s="86" t="s">
        <v>28</v>
      </c>
      <c r="E23" s="86" t="s">
        <v>29</v>
      </c>
      <c r="F23" s="86" t="s">
        <v>30</v>
      </c>
      <c r="G23" s="86" t="s">
        <v>31</v>
      </c>
      <c r="H23" s="47" t="s">
        <v>32</v>
      </c>
    </row>
    <row r="24" spans="1:8" x14ac:dyDescent="0.2">
      <c r="A24" s="80" t="s">
        <v>4</v>
      </c>
      <c r="B24" s="71">
        <f>Assumptions!B19</f>
        <v>5</v>
      </c>
      <c r="C24" s="71">
        <f>Assumptions!C19</f>
        <v>4</v>
      </c>
      <c r="D24" s="71">
        <f>Assumptions!D19</f>
        <v>4</v>
      </c>
      <c r="E24" s="71">
        <f>Assumptions!E19</f>
        <v>5</v>
      </c>
      <c r="F24" s="71">
        <f>Assumptions!F19</f>
        <v>0</v>
      </c>
      <c r="G24" s="71">
        <f>Assumptions!G19</f>
        <v>0</v>
      </c>
      <c r="H24" s="71">
        <f>Assumptions!H19</f>
        <v>0</v>
      </c>
    </row>
    <row r="25" spans="1:8" x14ac:dyDescent="0.2">
      <c r="A25" s="3" t="s">
        <v>4</v>
      </c>
      <c r="B25" s="81">
        <f>Assumptions!B11*(1+Assumptions!B14+Assumptions!B15)*Assumptions!B20</f>
        <v>398318.64600000001</v>
      </c>
      <c r="C25" s="81">
        <f>Assumptions!C11*(1+Assumptions!C14+Assumptions!C15)*Assumptions!C20</f>
        <v>735233.97347999981</v>
      </c>
      <c r="D25" s="81">
        <f>Assumptions!D11*(1+Assumptions!D14+Assumptions!D15)*Assumptions!D20</f>
        <v>1095426.9014741001</v>
      </c>
      <c r="E25" s="81">
        <f>Assumptions!E11*(1+Assumptions!E14+Assumptions!E15)*Assumptions!E20</f>
        <v>1562893.6551776282</v>
      </c>
      <c r="F25" s="81">
        <f>Assumptions!F11*(1+Assumptions!F14+Assumptions!F15)*Assumptions!F20</f>
        <v>1604054.3818933575</v>
      </c>
      <c r="G25" s="81">
        <f>Assumptions!G11*(1+Assumptions!G14+Assumptions!G15)*Assumptions!G20</f>
        <v>1641168.9729281249</v>
      </c>
      <c r="H25" s="81">
        <f>Assumptions!H11*(1+Assumptions!H14+Assumptions!H15)*Assumptions!H20</f>
        <v>1681728.8443634615</v>
      </c>
    </row>
    <row r="26" spans="1:8" x14ac:dyDescent="0.2">
      <c r="A26" s="3" t="s">
        <v>34</v>
      </c>
      <c r="B26" s="82">
        <f>'Normal Retirements'!H18*(1+Assumptions!C14+Assumptions!C15)*-1</f>
        <v>-234553.40399999998</v>
      </c>
      <c r="C26" s="82">
        <f>'Normal Retirements'!K18*(1+Assumptions!D14+Assumptions!D15)*-1</f>
        <v>-443649.24565</v>
      </c>
      <c r="D26" s="82">
        <f>'Normal Retirements'!N18*(1+Assumptions!E14+Assumptions!E15)*-1</f>
        <v>-671600.08169999998</v>
      </c>
      <c r="E26" s="82">
        <f>'Normal Retirements'!E37*(1+Assumptions!F14+Assumptions!F15)*-1</f>
        <v>-971291.52944999991</v>
      </c>
      <c r="F26" s="82">
        <f>'Normal Retirements'!H37*(1+Assumptions!G14+Assumptions!G15)*-1</f>
        <v>-1035733.5189500001</v>
      </c>
      <c r="G26" s="82">
        <f>'Normal Retirements'!K37*(1+Assumptions!H14+Assumptions!H15)*-1</f>
        <v>-1106161.0439849999</v>
      </c>
      <c r="H26" s="82">
        <f>'Normal Retirements'!N37*(1+Assumptions!I14+Assumptions!I15)*-1</f>
        <v>-1183562.4934000003</v>
      </c>
    </row>
    <row r="27" spans="1:8" x14ac:dyDescent="0.2">
      <c r="A27" s="3" t="s">
        <v>14</v>
      </c>
      <c r="B27" s="82">
        <f t="shared" ref="B27:H27" si="1">SUM(B25:B26)</f>
        <v>163765.24200000003</v>
      </c>
      <c r="C27" s="82">
        <f t="shared" si="1"/>
        <v>291584.72782999981</v>
      </c>
      <c r="D27" s="82">
        <f t="shared" si="1"/>
        <v>423826.81977410009</v>
      </c>
      <c r="E27" s="82">
        <f t="shared" si="1"/>
        <v>591602.12572762824</v>
      </c>
      <c r="F27" s="82">
        <f t="shared" si="1"/>
        <v>568320.86294335744</v>
      </c>
      <c r="G27" s="82">
        <f t="shared" si="1"/>
        <v>535007.92894312507</v>
      </c>
      <c r="H27" s="82">
        <f t="shared" si="1"/>
        <v>498166.35096346121</v>
      </c>
    </row>
    <row r="28" spans="1:8" x14ac:dyDescent="0.2">
      <c r="A28" s="38" t="s">
        <v>15</v>
      </c>
      <c r="B28" s="39">
        <f>B27</f>
        <v>163765.24200000003</v>
      </c>
      <c r="C28" s="39">
        <f t="shared" ref="C28:H28" si="2">C27+B28</f>
        <v>455349.96982999984</v>
      </c>
      <c r="D28" s="39">
        <f t="shared" si="2"/>
        <v>879176.78960409993</v>
      </c>
      <c r="E28" s="39">
        <f t="shared" si="2"/>
        <v>1470778.9153317283</v>
      </c>
      <c r="F28" s="39">
        <f t="shared" si="2"/>
        <v>2039099.7782750856</v>
      </c>
      <c r="G28" s="39">
        <f t="shared" si="2"/>
        <v>2574107.7072182107</v>
      </c>
      <c r="H28" s="39">
        <f t="shared" si="2"/>
        <v>3072274.0581816719</v>
      </c>
    </row>
    <row r="29" spans="1:8" ht="24.75" customHeight="1" x14ac:dyDescent="0.2"/>
    <row r="30" spans="1:8" x14ac:dyDescent="0.2">
      <c r="A30" s="87" t="s">
        <v>19</v>
      </c>
      <c r="B30" s="93"/>
      <c r="C30" s="93"/>
      <c r="D30" s="93"/>
      <c r="E30" s="93"/>
      <c r="F30" s="93"/>
      <c r="G30" s="93"/>
      <c r="H30" s="93"/>
    </row>
    <row r="31" spans="1:8" x14ac:dyDescent="0.2">
      <c r="A31" s="88" t="s">
        <v>20</v>
      </c>
      <c r="B31" s="93"/>
      <c r="C31" s="93"/>
      <c r="D31" s="93"/>
      <c r="E31" s="93"/>
      <c r="F31" s="93"/>
      <c r="G31" s="93"/>
      <c r="H31" s="93"/>
    </row>
    <row r="32" spans="1:8" ht="12.75" customHeight="1" x14ac:dyDescent="0.2">
      <c r="A32" s="88"/>
      <c r="B32" s="108" t="s">
        <v>9</v>
      </c>
      <c r="C32" s="109"/>
      <c r="D32" s="109"/>
      <c r="E32" s="109"/>
      <c r="F32" s="109"/>
      <c r="G32" s="109"/>
      <c r="H32" s="109"/>
    </row>
    <row r="33" spans="1:8" ht="12.75" customHeight="1" x14ac:dyDescent="0.2">
      <c r="A33" s="88"/>
      <c r="B33" s="84">
        <v>1</v>
      </c>
      <c r="C33" s="47">
        <v>2</v>
      </c>
      <c r="D33" s="47">
        <v>3</v>
      </c>
      <c r="E33" s="47">
        <v>4</v>
      </c>
      <c r="F33" s="47">
        <v>5</v>
      </c>
      <c r="G33" s="47">
        <v>6</v>
      </c>
      <c r="H33" s="47">
        <v>7</v>
      </c>
    </row>
    <row r="34" spans="1:8" ht="12.75" customHeight="1" x14ac:dyDescent="0.2">
      <c r="A34" s="96"/>
      <c r="B34" s="85" t="s">
        <v>8</v>
      </c>
      <c r="C34" s="86" t="s">
        <v>27</v>
      </c>
      <c r="D34" s="86" t="s">
        <v>28</v>
      </c>
      <c r="E34" s="86" t="s">
        <v>29</v>
      </c>
      <c r="F34" s="86" t="s">
        <v>30</v>
      </c>
      <c r="G34" s="86" t="s">
        <v>31</v>
      </c>
      <c r="H34" s="86" t="s">
        <v>32</v>
      </c>
    </row>
    <row r="35" spans="1:8" x14ac:dyDescent="0.2">
      <c r="A35" s="80" t="s">
        <v>21</v>
      </c>
      <c r="B35" s="83">
        <f t="shared" ref="B35:H35" si="3">B16</f>
        <v>419643.65459999989</v>
      </c>
      <c r="C35" s="83">
        <f t="shared" si="3"/>
        <v>392069.85995999968</v>
      </c>
      <c r="D35" s="83">
        <f t="shared" si="3"/>
        <v>371846.24050259998</v>
      </c>
      <c r="E35" s="83">
        <f t="shared" si="3"/>
        <v>513897.45817762823</v>
      </c>
      <c r="F35" s="83">
        <f t="shared" si="3"/>
        <v>482186.30989335733</v>
      </c>
      <c r="G35" s="83">
        <f t="shared" si="3"/>
        <v>441738.630928125</v>
      </c>
      <c r="H35" s="83">
        <f t="shared" si="3"/>
        <v>451690.11239936901</v>
      </c>
    </row>
    <row r="36" spans="1:8" x14ac:dyDescent="0.2">
      <c r="A36" s="3" t="s">
        <v>22</v>
      </c>
      <c r="B36" s="94">
        <f>B27</f>
        <v>163765.24200000003</v>
      </c>
      <c r="C36" s="94">
        <f t="shared" ref="C36:H36" si="4">C27</f>
        <v>291584.72782999981</v>
      </c>
      <c r="D36" s="94">
        <f t="shared" si="4"/>
        <v>423826.81977410009</v>
      </c>
      <c r="E36" s="94">
        <f t="shared" si="4"/>
        <v>591602.12572762824</v>
      </c>
      <c r="F36" s="94">
        <f t="shared" si="4"/>
        <v>568320.86294335744</v>
      </c>
      <c r="G36" s="94">
        <f t="shared" si="4"/>
        <v>535007.92894312507</v>
      </c>
      <c r="H36" s="94">
        <f t="shared" si="4"/>
        <v>498166.35096346121</v>
      </c>
    </row>
    <row r="37" spans="1:8" x14ac:dyDescent="0.2">
      <c r="A37" s="3" t="s">
        <v>23</v>
      </c>
      <c r="B37" s="82">
        <f>B35-B36</f>
        <v>255878.41259999987</v>
      </c>
      <c r="C37" s="82">
        <f t="shared" ref="C37:H37" si="5">C35-C36</f>
        <v>100485.13212999987</v>
      </c>
      <c r="D37" s="82">
        <f t="shared" si="5"/>
        <v>-51980.579271500115</v>
      </c>
      <c r="E37" s="82">
        <f t="shared" si="5"/>
        <v>-77704.667550000013</v>
      </c>
      <c r="F37" s="82">
        <f t="shared" si="5"/>
        <v>-86134.553050000104</v>
      </c>
      <c r="G37" s="82">
        <f t="shared" si="5"/>
        <v>-93269.298015000066</v>
      </c>
      <c r="H37" s="82">
        <f t="shared" si="5"/>
        <v>-46476.2385640922</v>
      </c>
    </row>
    <row r="38" spans="1:8" x14ac:dyDescent="0.2">
      <c r="A38" s="93"/>
      <c r="B38" s="95"/>
      <c r="C38" s="95"/>
      <c r="D38" s="95"/>
      <c r="E38" s="95"/>
      <c r="F38" s="95"/>
      <c r="G38" s="95"/>
      <c r="H38" s="95"/>
    </row>
    <row r="39" spans="1:8" s="6" customFormat="1" x14ac:dyDescent="0.2">
      <c r="A39" s="38" t="s">
        <v>63</v>
      </c>
      <c r="B39" s="39">
        <f>B37</f>
        <v>255878.41259999987</v>
      </c>
      <c r="C39" s="39">
        <f t="shared" ref="C39:H39" si="6">C37+B39</f>
        <v>356363.54472999973</v>
      </c>
      <c r="D39" s="39">
        <f t="shared" si="6"/>
        <v>304382.96545849962</v>
      </c>
      <c r="E39" s="39">
        <f t="shared" si="6"/>
        <v>226678.2979084996</v>
      </c>
      <c r="F39" s="39">
        <f t="shared" si="6"/>
        <v>140543.7448584995</v>
      </c>
      <c r="G39" s="39">
        <f t="shared" si="6"/>
        <v>47274.446843499434</v>
      </c>
      <c r="H39" s="39">
        <f t="shared" si="6"/>
        <v>798.20827940723393</v>
      </c>
    </row>
  </sheetData>
  <mergeCells count="6">
    <mergeCell ref="B21:H21"/>
    <mergeCell ref="B32:H32"/>
    <mergeCell ref="A1:H1"/>
    <mergeCell ref="A2:H2"/>
    <mergeCell ref="A3:H3"/>
    <mergeCell ref="B8:H8"/>
  </mergeCells>
  <phoneticPr fontId="0" type="noConversion"/>
  <printOptions horizontalCentered="1"/>
  <pageMargins left="0.2" right="0.21" top="0.46" bottom="0.77" header="0.2" footer="0.45"/>
  <pageSetup scale="95" firstPageNumber="2" orientation="landscape" useFirstPageNumber="1" r:id="rId1"/>
  <headerFooter alignWithMargins="0"/>
  <ignoredErrors>
    <ignoredError sqref="C14:D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7" sqref="D7"/>
    </sheetView>
  </sheetViews>
  <sheetFormatPr defaultRowHeight="15" x14ac:dyDescent="0.2"/>
  <cols>
    <col min="1" max="1" width="8.28515625" style="8" customWidth="1"/>
    <col min="2" max="2" width="11.140625" style="8" customWidth="1"/>
    <col min="3" max="10" width="9.7109375" style="8" bestFit="1" customWidth="1"/>
    <col min="11" max="16384" width="9.140625" style="8"/>
  </cols>
  <sheetData>
    <row r="1" spans="1:10" ht="23.25" x14ac:dyDescent="0.35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23.25" x14ac:dyDescent="0.35">
      <c r="A2" s="101" t="s">
        <v>45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33.75" customHeight="1" x14ac:dyDescent="0.2"/>
    <row r="4" spans="1:10" ht="15.75" x14ac:dyDescent="0.25">
      <c r="A4" s="113" t="s">
        <v>36</v>
      </c>
      <c r="B4" s="113"/>
      <c r="C4" s="14">
        <v>31412</v>
      </c>
      <c r="D4" s="14">
        <f>ROUND(C4*(1+Assumptions!C17),0)</f>
        <v>31726</v>
      </c>
      <c r="E4" s="14">
        <f>ROUND(D4*(1+Assumptions!D17),0)</f>
        <v>32202</v>
      </c>
      <c r="F4" s="14">
        <f>ROUND(E4*(1+Assumptions!E17),0)</f>
        <v>32846</v>
      </c>
      <c r="G4" s="14">
        <f>ROUND(F4*(1+Assumptions!F17),0)</f>
        <v>33503</v>
      </c>
      <c r="H4" s="14">
        <f>ROUND(G4*(1+Assumptions!G17),0)</f>
        <v>34173</v>
      </c>
      <c r="I4" s="14">
        <f>ROUND(H4*(1+Assumptions!H17),0)</f>
        <v>34856</v>
      </c>
      <c r="J4" s="14">
        <f>ROUND(I4*(1+Assumptions!I17),0)</f>
        <v>35553</v>
      </c>
    </row>
    <row r="5" spans="1:10" ht="15.75" x14ac:dyDescent="0.25">
      <c r="A5" s="111" t="s">
        <v>47</v>
      </c>
      <c r="B5" s="112"/>
      <c r="C5" s="10" t="s">
        <v>7</v>
      </c>
      <c r="D5" s="10" t="s">
        <v>8</v>
      </c>
      <c r="E5" s="9" t="s">
        <v>27</v>
      </c>
      <c r="F5" s="9" t="s">
        <v>28</v>
      </c>
      <c r="G5" s="9" t="s">
        <v>29</v>
      </c>
      <c r="H5" s="9" t="s">
        <v>30</v>
      </c>
      <c r="I5" s="9" t="s">
        <v>31</v>
      </c>
      <c r="J5" s="9" t="s">
        <v>32</v>
      </c>
    </row>
    <row r="6" spans="1:10" ht="15.75" x14ac:dyDescent="0.25">
      <c r="A6" s="9" t="s">
        <v>35</v>
      </c>
      <c r="B6" s="9" t="s">
        <v>37</v>
      </c>
      <c r="C6" s="12"/>
      <c r="D6" s="12"/>
      <c r="E6" s="12"/>
      <c r="F6" s="12"/>
      <c r="G6" s="12"/>
      <c r="H6" s="12"/>
      <c r="I6" s="12"/>
      <c r="J6" s="12"/>
    </row>
    <row r="7" spans="1:10" ht="15.75" x14ac:dyDescent="0.25">
      <c r="A7" s="9">
        <v>3</v>
      </c>
      <c r="B7" s="15">
        <v>1.2</v>
      </c>
      <c r="C7" s="11">
        <v>37694</v>
      </c>
      <c r="D7" s="19">
        <f t="shared" ref="D7:J17" si="0">ROUND(D$4*$B7,0)</f>
        <v>38071</v>
      </c>
      <c r="E7" s="11">
        <f t="shared" si="0"/>
        <v>38642</v>
      </c>
      <c r="F7" s="11">
        <f t="shared" si="0"/>
        <v>39415</v>
      </c>
      <c r="G7" s="11">
        <f t="shared" si="0"/>
        <v>40204</v>
      </c>
      <c r="H7" s="11">
        <f t="shared" si="0"/>
        <v>41008</v>
      </c>
      <c r="I7" s="11">
        <f t="shared" si="0"/>
        <v>41827</v>
      </c>
      <c r="J7" s="11">
        <f t="shared" si="0"/>
        <v>42664</v>
      </c>
    </row>
    <row r="8" spans="1:10" ht="15.75" x14ac:dyDescent="0.25">
      <c r="A8" s="9">
        <v>4</v>
      </c>
      <c r="B8" s="15">
        <v>1.25</v>
      </c>
      <c r="C8" s="11">
        <v>39265</v>
      </c>
      <c r="D8" s="11">
        <f t="shared" si="0"/>
        <v>39658</v>
      </c>
      <c r="E8" s="14">
        <f t="shared" si="0"/>
        <v>40253</v>
      </c>
      <c r="F8" s="11">
        <f t="shared" si="0"/>
        <v>41058</v>
      </c>
      <c r="G8" s="11">
        <f t="shared" si="0"/>
        <v>41879</v>
      </c>
      <c r="H8" s="11">
        <f t="shared" si="0"/>
        <v>42716</v>
      </c>
      <c r="I8" s="11">
        <f t="shared" si="0"/>
        <v>43570</v>
      </c>
      <c r="J8" s="11">
        <f t="shared" si="0"/>
        <v>44441</v>
      </c>
    </row>
    <row r="9" spans="1:10" ht="15.75" x14ac:dyDescent="0.25">
      <c r="A9" s="9">
        <v>5</v>
      </c>
      <c r="B9" s="15">
        <v>1.3</v>
      </c>
      <c r="C9" s="11">
        <v>40836</v>
      </c>
      <c r="D9" s="11">
        <f t="shared" si="0"/>
        <v>41244</v>
      </c>
      <c r="E9" s="11">
        <f t="shared" si="0"/>
        <v>41863</v>
      </c>
      <c r="F9" s="19">
        <f t="shared" si="0"/>
        <v>42700</v>
      </c>
      <c r="G9" s="11">
        <f t="shared" si="0"/>
        <v>43554</v>
      </c>
      <c r="H9" s="11">
        <f t="shared" si="0"/>
        <v>44425</v>
      </c>
      <c r="I9" s="11">
        <f t="shared" si="0"/>
        <v>45313</v>
      </c>
      <c r="J9" s="11">
        <f t="shared" si="0"/>
        <v>46219</v>
      </c>
    </row>
    <row r="10" spans="1:10" ht="15.75" x14ac:dyDescent="0.25">
      <c r="A10" s="9">
        <v>6</v>
      </c>
      <c r="B10" s="15">
        <v>1.35</v>
      </c>
      <c r="C10" s="11">
        <v>42406</v>
      </c>
      <c r="D10" s="11">
        <f t="shared" si="0"/>
        <v>42830</v>
      </c>
      <c r="E10" s="11">
        <f t="shared" si="0"/>
        <v>43473</v>
      </c>
      <c r="F10" s="11">
        <f t="shared" si="0"/>
        <v>44342</v>
      </c>
      <c r="G10" s="14">
        <f t="shared" si="0"/>
        <v>45229</v>
      </c>
      <c r="H10" s="11">
        <f t="shared" si="0"/>
        <v>46134</v>
      </c>
      <c r="I10" s="11">
        <f t="shared" si="0"/>
        <v>47056</v>
      </c>
      <c r="J10" s="11">
        <f t="shared" si="0"/>
        <v>47997</v>
      </c>
    </row>
    <row r="11" spans="1:10" ht="15.75" x14ac:dyDescent="0.25">
      <c r="A11" s="9">
        <v>7</v>
      </c>
      <c r="B11" s="15">
        <v>1.41</v>
      </c>
      <c r="C11" s="11">
        <v>44291</v>
      </c>
      <c r="D11" s="11">
        <f t="shared" si="0"/>
        <v>44734</v>
      </c>
      <c r="E11" s="11">
        <f t="shared" si="0"/>
        <v>45405</v>
      </c>
      <c r="F11" s="11">
        <f t="shared" si="0"/>
        <v>46313</v>
      </c>
      <c r="G11" s="11">
        <f t="shared" si="0"/>
        <v>47239</v>
      </c>
      <c r="H11" s="19">
        <f t="shared" si="0"/>
        <v>48184</v>
      </c>
      <c r="I11" s="11">
        <f t="shared" si="0"/>
        <v>49147</v>
      </c>
      <c r="J11" s="11">
        <f t="shared" si="0"/>
        <v>50130</v>
      </c>
    </row>
    <row r="12" spans="1:10" ht="15.75" x14ac:dyDescent="0.25">
      <c r="A12" s="9">
        <v>8</v>
      </c>
      <c r="B12" s="15">
        <v>1.47</v>
      </c>
      <c r="C12" s="11">
        <v>46176</v>
      </c>
      <c r="D12" s="11">
        <f t="shared" si="0"/>
        <v>46637</v>
      </c>
      <c r="E12" s="11">
        <f t="shared" si="0"/>
        <v>47337</v>
      </c>
      <c r="F12" s="11">
        <f t="shared" si="0"/>
        <v>48284</v>
      </c>
      <c r="G12" s="11">
        <f t="shared" si="0"/>
        <v>49249</v>
      </c>
      <c r="H12" s="11">
        <f t="shared" si="0"/>
        <v>50234</v>
      </c>
      <c r="I12" s="14">
        <f t="shared" si="0"/>
        <v>51238</v>
      </c>
      <c r="J12" s="11">
        <f t="shared" si="0"/>
        <v>52263</v>
      </c>
    </row>
    <row r="13" spans="1:10" ht="15.75" x14ac:dyDescent="0.25">
      <c r="A13" s="9">
        <v>9</v>
      </c>
      <c r="B13" s="15">
        <v>1.54</v>
      </c>
      <c r="C13" s="11">
        <v>48374</v>
      </c>
      <c r="D13" s="11">
        <f t="shared" si="0"/>
        <v>48858</v>
      </c>
      <c r="E13" s="11">
        <f t="shared" si="0"/>
        <v>49591</v>
      </c>
      <c r="F13" s="11">
        <f t="shared" si="0"/>
        <v>50583</v>
      </c>
      <c r="G13" s="11">
        <f t="shared" si="0"/>
        <v>51595</v>
      </c>
      <c r="H13" s="11">
        <f t="shared" si="0"/>
        <v>52626</v>
      </c>
      <c r="I13" s="11">
        <f t="shared" si="0"/>
        <v>53678</v>
      </c>
      <c r="J13" s="19">
        <f t="shared" si="0"/>
        <v>54752</v>
      </c>
    </row>
    <row r="14" spans="1:10" ht="15.75" x14ac:dyDescent="0.25">
      <c r="A14" s="9">
        <v>10</v>
      </c>
      <c r="B14" s="15">
        <v>1.61</v>
      </c>
      <c r="C14" s="11">
        <v>50573</v>
      </c>
      <c r="D14" s="11">
        <f t="shared" si="0"/>
        <v>51079</v>
      </c>
      <c r="E14" s="11">
        <f t="shared" si="0"/>
        <v>51845</v>
      </c>
      <c r="F14" s="11">
        <f t="shared" si="0"/>
        <v>52882</v>
      </c>
      <c r="G14" s="11">
        <f t="shared" si="0"/>
        <v>53940</v>
      </c>
      <c r="H14" s="11">
        <f t="shared" si="0"/>
        <v>55019</v>
      </c>
      <c r="I14" s="11">
        <f t="shared" si="0"/>
        <v>56118</v>
      </c>
      <c r="J14" s="11">
        <f t="shared" si="0"/>
        <v>57240</v>
      </c>
    </row>
    <row r="15" spans="1:10" ht="15.75" x14ac:dyDescent="0.25">
      <c r="A15" s="9">
        <v>11</v>
      </c>
      <c r="B15" s="15">
        <v>1.69</v>
      </c>
      <c r="C15" s="11">
        <v>53086</v>
      </c>
      <c r="D15" s="11">
        <f t="shared" si="0"/>
        <v>53617</v>
      </c>
      <c r="E15" s="11">
        <f t="shared" si="0"/>
        <v>54421</v>
      </c>
      <c r="F15" s="11">
        <f t="shared" si="0"/>
        <v>55510</v>
      </c>
      <c r="G15" s="11">
        <f t="shared" si="0"/>
        <v>56620</v>
      </c>
      <c r="H15" s="11">
        <f t="shared" si="0"/>
        <v>57752</v>
      </c>
      <c r="I15" s="11">
        <f t="shared" si="0"/>
        <v>58907</v>
      </c>
      <c r="J15" s="11">
        <f t="shared" si="0"/>
        <v>60085</v>
      </c>
    </row>
    <row r="16" spans="1:10" ht="15.75" x14ac:dyDescent="0.25">
      <c r="A16" s="9">
        <v>12</v>
      </c>
      <c r="B16" s="15">
        <v>1.77</v>
      </c>
      <c r="C16" s="11">
        <v>55599</v>
      </c>
      <c r="D16" s="11">
        <f t="shared" si="0"/>
        <v>56155</v>
      </c>
      <c r="E16" s="11">
        <f t="shared" si="0"/>
        <v>56998</v>
      </c>
      <c r="F16" s="11">
        <f t="shared" si="0"/>
        <v>58137</v>
      </c>
      <c r="G16" s="11">
        <f t="shared" si="0"/>
        <v>59300</v>
      </c>
      <c r="H16" s="11">
        <f t="shared" si="0"/>
        <v>60486</v>
      </c>
      <c r="I16" s="11">
        <f t="shared" si="0"/>
        <v>61695</v>
      </c>
      <c r="J16" s="11">
        <f t="shared" si="0"/>
        <v>62929</v>
      </c>
    </row>
    <row r="17" spans="1:10" ht="15.75" x14ac:dyDescent="0.25">
      <c r="A17" s="9">
        <v>13</v>
      </c>
      <c r="B17" s="15">
        <v>1.85</v>
      </c>
      <c r="C17" s="11">
        <v>58112</v>
      </c>
      <c r="D17" s="11">
        <f t="shared" si="0"/>
        <v>58693</v>
      </c>
      <c r="E17" s="11">
        <f t="shared" si="0"/>
        <v>59574</v>
      </c>
      <c r="F17" s="11">
        <f t="shared" si="0"/>
        <v>60765</v>
      </c>
      <c r="G17" s="11">
        <f t="shared" si="0"/>
        <v>61981</v>
      </c>
      <c r="H17" s="11">
        <f t="shared" si="0"/>
        <v>63220</v>
      </c>
      <c r="I17" s="11">
        <f t="shared" si="0"/>
        <v>64484</v>
      </c>
      <c r="J17" s="11">
        <f t="shared" si="0"/>
        <v>65773</v>
      </c>
    </row>
    <row r="18" spans="1:10" s="16" customFormat="1" x14ac:dyDescent="0.2">
      <c r="C18" s="20"/>
    </row>
    <row r="19" spans="1:10" s="13" customFormat="1" ht="15.75" x14ac:dyDescent="0.25">
      <c r="A19" s="17" t="s">
        <v>46</v>
      </c>
      <c r="B19" s="18"/>
      <c r="C19" s="19">
        <f>(Assumptions!B9+Assumptions!B10)</f>
        <v>65021</v>
      </c>
      <c r="D19" s="14">
        <f>(Assumptions!C9+Assumptions!C10)</f>
        <v>65642.959999999992</v>
      </c>
      <c r="E19" s="19">
        <f>(Assumptions!D9+Assumptions!D10)</f>
        <v>66585.229399999997</v>
      </c>
      <c r="F19" s="14">
        <f>(Assumptions!E9+Assumptions!E10)</f>
        <v>67860.433988000004</v>
      </c>
      <c r="G19" s="19">
        <f>(Assumptions!F9+Assumptions!F10)</f>
        <v>69161.142667759996</v>
      </c>
      <c r="H19" s="14">
        <f>(Assumptions!G9+Assumptions!G10)</f>
        <v>70487.865521115193</v>
      </c>
      <c r="I19" s="19">
        <f>(Assumptions!H9+Assumptions!H10)</f>
        <v>71841.122831537505</v>
      </c>
      <c r="J19" s="11">
        <f>(Assumptions!I9+Assumptions!I10)</f>
        <v>73221.445288168252</v>
      </c>
    </row>
    <row r="20" spans="1:10" s="13" customFormat="1" ht="15.75" x14ac:dyDescent="0.25"/>
  </sheetData>
  <mergeCells count="4">
    <mergeCell ref="A5:B5"/>
    <mergeCell ref="A1:J1"/>
    <mergeCell ref="A2:J2"/>
    <mergeCell ref="A4:B4"/>
  </mergeCells>
  <phoneticPr fontId="0" type="noConversion"/>
  <printOptions horizontalCentered="1"/>
  <pageMargins left="0.75" right="0.75" top="1" bottom="1" header="0.5" footer="0.5"/>
  <pageSetup firstPageNumber="3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O14" sqref="O14"/>
    </sheetView>
  </sheetViews>
  <sheetFormatPr defaultRowHeight="12.75" x14ac:dyDescent="0.2"/>
  <cols>
    <col min="1" max="2" width="9.140625" style="2"/>
    <col min="3" max="3" width="11" style="2" bestFit="1" customWidth="1"/>
    <col min="4" max="4" width="4.140625" style="2" bestFit="1" customWidth="1"/>
    <col min="5" max="5" width="10.28515625" style="2" bestFit="1" customWidth="1"/>
    <col min="6" max="6" width="11" style="2" bestFit="1" customWidth="1"/>
    <col min="7" max="7" width="4.140625" style="2" bestFit="1" customWidth="1"/>
    <col min="8" max="8" width="10.28515625" style="2" bestFit="1" customWidth="1"/>
    <col min="9" max="9" width="11" style="2" bestFit="1" customWidth="1"/>
    <col min="10" max="10" width="4.140625" style="2" bestFit="1" customWidth="1"/>
    <col min="11" max="11" width="10.28515625" style="2" bestFit="1" customWidth="1"/>
    <col min="12" max="12" width="11" style="2" bestFit="1" customWidth="1"/>
    <col min="13" max="13" width="4.140625" style="2" bestFit="1" customWidth="1"/>
    <col min="14" max="14" width="10.28515625" style="2" bestFit="1" customWidth="1"/>
    <col min="15" max="15" width="11" style="2" bestFit="1" customWidth="1"/>
    <col min="16" max="16" width="4.140625" style="2" bestFit="1" customWidth="1"/>
    <col min="17" max="18" width="10.28515625" style="2" bestFit="1" customWidth="1"/>
    <col min="19" max="19" width="4.140625" style="2" bestFit="1" customWidth="1"/>
    <col min="20" max="20" width="10.28515625" style="2" customWidth="1"/>
    <col min="21" max="21" width="10.28515625" style="2" bestFit="1" customWidth="1"/>
    <col min="22" max="22" width="4.140625" style="2" bestFit="1" customWidth="1"/>
    <col min="23" max="23" width="10.28515625" style="2" bestFit="1" customWidth="1"/>
    <col min="24" max="24" width="9.140625" style="2"/>
    <col min="25" max="25" width="4.7109375" style="2" bestFit="1" customWidth="1"/>
    <col min="26" max="16384" width="9.140625" style="2"/>
  </cols>
  <sheetData>
    <row r="1" spans="1:14" ht="18" x14ac:dyDescent="0.25">
      <c r="A1" s="5" t="s">
        <v>51</v>
      </c>
    </row>
    <row r="2" spans="1:14" ht="18" x14ac:dyDescent="0.25">
      <c r="A2" s="5" t="s">
        <v>4</v>
      </c>
    </row>
    <row r="4" spans="1:14" x14ac:dyDescent="0.2">
      <c r="A4" s="3"/>
      <c r="B4" s="3"/>
      <c r="C4" s="120" t="s">
        <v>7</v>
      </c>
      <c r="D4" s="121"/>
      <c r="E4" s="104"/>
      <c r="F4" s="120" t="s">
        <v>8</v>
      </c>
      <c r="G4" s="121"/>
      <c r="H4" s="104"/>
      <c r="I4" s="120" t="s">
        <v>27</v>
      </c>
      <c r="J4" s="121"/>
      <c r="K4" s="104"/>
      <c r="L4" s="120" t="s">
        <v>28</v>
      </c>
      <c r="M4" s="121"/>
      <c r="N4" s="104"/>
    </row>
    <row r="5" spans="1:14" x14ac:dyDescent="0.2">
      <c r="A5" s="23" t="s">
        <v>36</v>
      </c>
      <c r="B5" s="1" t="s">
        <v>36</v>
      </c>
      <c r="C5" s="26">
        <v>31412</v>
      </c>
      <c r="D5" s="26"/>
      <c r="E5" s="26"/>
      <c r="F5" s="27">
        <f>ROUND(C5*(1+Assumptions!B17),0)</f>
        <v>31412</v>
      </c>
      <c r="G5" s="27"/>
      <c r="H5" s="27"/>
      <c r="I5" s="26">
        <f>ROUND(F5*(1+Assumptions!C17),0)</f>
        <v>31726</v>
      </c>
      <c r="J5" s="26"/>
      <c r="K5" s="26"/>
      <c r="L5" s="27">
        <f>ROUND(I5*(1+Assumptions!D17),0)</f>
        <v>32202</v>
      </c>
      <c r="M5" s="27"/>
      <c r="N5" s="27"/>
    </row>
    <row r="6" spans="1:14" x14ac:dyDescent="0.2">
      <c r="A6" s="1" t="s">
        <v>35</v>
      </c>
      <c r="B6" s="1" t="s">
        <v>37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1">
        <v>3</v>
      </c>
      <c r="B7" s="22">
        <v>1.2</v>
      </c>
      <c r="C7" s="26">
        <v>37694</v>
      </c>
      <c r="D7" s="26"/>
      <c r="E7" s="26"/>
      <c r="F7" s="27">
        <f>$F$5*$B7</f>
        <v>37694.400000000001</v>
      </c>
      <c r="G7" s="27">
        <f>Assumptions!B20</f>
        <v>5</v>
      </c>
      <c r="H7" s="27">
        <f>F7*G7</f>
        <v>188472</v>
      </c>
      <c r="I7" s="26">
        <f t="shared" ref="I7:I17" si="0">I$5*$B7</f>
        <v>38071.199999999997</v>
      </c>
      <c r="J7" s="26">
        <f>'Cost Sheet'!C24</f>
        <v>4</v>
      </c>
      <c r="K7" s="26">
        <f>I7*J7</f>
        <v>152284.79999999999</v>
      </c>
      <c r="L7" s="27">
        <f t="shared" ref="L7:L17" si="1">L$5*$B7</f>
        <v>38642.400000000001</v>
      </c>
      <c r="M7" s="27">
        <f>'Cost Sheet'!D24</f>
        <v>4</v>
      </c>
      <c r="N7" s="27">
        <f>L7*M7</f>
        <v>154569.60000000001</v>
      </c>
    </row>
    <row r="8" spans="1:14" x14ac:dyDescent="0.2">
      <c r="A8" s="1">
        <v>4</v>
      </c>
      <c r="B8" s="22">
        <v>1.25</v>
      </c>
      <c r="C8" s="26">
        <v>39265</v>
      </c>
      <c r="D8" s="26"/>
      <c r="E8" s="26"/>
      <c r="F8" s="27">
        <f t="shared" ref="F8:F17" si="2">$F$5*$B8</f>
        <v>39265</v>
      </c>
      <c r="G8" s="27"/>
      <c r="H8" s="27"/>
      <c r="I8" s="26">
        <f t="shared" si="0"/>
        <v>39657.5</v>
      </c>
      <c r="J8" s="26">
        <f>G7</f>
        <v>5</v>
      </c>
      <c r="K8" s="26">
        <f>I8*J8</f>
        <v>198287.5</v>
      </c>
      <c r="L8" s="27">
        <f t="shared" si="1"/>
        <v>40252.5</v>
      </c>
      <c r="M8" s="27">
        <f>J7</f>
        <v>4</v>
      </c>
      <c r="N8" s="27">
        <f>L8*M8</f>
        <v>161010</v>
      </c>
    </row>
    <row r="9" spans="1:14" x14ac:dyDescent="0.2">
      <c r="A9" s="1">
        <v>5</v>
      </c>
      <c r="B9" s="22">
        <v>1.3</v>
      </c>
      <c r="C9" s="26">
        <v>40836</v>
      </c>
      <c r="D9" s="26"/>
      <c r="E9" s="26"/>
      <c r="F9" s="27">
        <f t="shared" si="2"/>
        <v>40835.599999999999</v>
      </c>
      <c r="G9" s="27"/>
      <c r="H9" s="27"/>
      <c r="I9" s="26">
        <f t="shared" si="0"/>
        <v>41243.800000000003</v>
      </c>
      <c r="J9" s="26"/>
      <c r="K9" s="26"/>
      <c r="L9" s="27">
        <f t="shared" si="1"/>
        <v>41862.6</v>
      </c>
      <c r="M9" s="27">
        <f>J8</f>
        <v>5</v>
      </c>
      <c r="N9" s="27">
        <f>L9*M9</f>
        <v>209313</v>
      </c>
    </row>
    <row r="10" spans="1:14" x14ac:dyDescent="0.2">
      <c r="A10" s="1">
        <v>6</v>
      </c>
      <c r="B10" s="22">
        <v>1.35</v>
      </c>
      <c r="C10" s="26">
        <v>42406</v>
      </c>
      <c r="D10" s="26"/>
      <c r="E10" s="26"/>
      <c r="F10" s="27">
        <f t="shared" si="2"/>
        <v>42406.200000000004</v>
      </c>
      <c r="G10" s="27"/>
      <c r="H10" s="27"/>
      <c r="I10" s="26">
        <f t="shared" si="0"/>
        <v>42830.100000000006</v>
      </c>
      <c r="J10" s="26"/>
      <c r="K10" s="26"/>
      <c r="L10" s="27">
        <f t="shared" si="1"/>
        <v>43472.700000000004</v>
      </c>
      <c r="M10" s="27"/>
      <c r="N10" s="27"/>
    </row>
    <row r="11" spans="1:14" x14ac:dyDescent="0.2">
      <c r="A11" s="1">
        <v>7</v>
      </c>
      <c r="B11" s="22">
        <v>1.41</v>
      </c>
      <c r="C11" s="26">
        <v>44291</v>
      </c>
      <c r="D11" s="26"/>
      <c r="E11" s="26"/>
      <c r="F11" s="27">
        <f t="shared" si="2"/>
        <v>44290.92</v>
      </c>
      <c r="G11" s="27"/>
      <c r="H11" s="27"/>
      <c r="I11" s="26">
        <f t="shared" si="0"/>
        <v>44733.659999999996</v>
      </c>
      <c r="J11" s="26"/>
      <c r="K11" s="26"/>
      <c r="L11" s="27">
        <f t="shared" si="1"/>
        <v>45404.82</v>
      </c>
      <c r="M11" s="27"/>
      <c r="N11" s="27"/>
    </row>
    <row r="12" spans="1:14" x14ac:dyDescent="0.2">
      <c r="A12" s="1">
        <v>8</v>
      </c>
      <c r="B12" s="22">
        <v>1.47</v>
      </c>
      <c r="C12" s="26">
        <v>46176</v>
      </c>
      <c r="D12" s="26"/>
      <c r="E12" s="26"/>
      <c r="F12" s="27">
        <f t="shared" si="2"/>
        <v>46175.64</v>
      </c>
      <c r="G12" s="27"/>
      <c r="H12" s="27"/>
      <c r="I12" s="26">
        <f t="shared" si="0"/>
        <v>46637.22</v>
      </c>
      <c r="J12" s="26"/>
      <c r="K12" s="26"/>
      <c r="L12" s="27">
        <f t="shared" si="1"/>
        <v>47336.94</v>
      </c>
      <c r="M12" s="27"/>
      <c r="N12" s="27"/>
    </row>
    <row r="13" spans="1:14" x14ac:dyDescent="0.2">
      <c r="A13" s="1">
        <v>9</v>
      </c>
      <c r="B13" s="22">
        <v>1.54</v>
      </c>
      <c r="C13" s="26">
        <v>48374</v>
      </c>
      <c r="D13" s="26"/>
      <c r="E13" s="26"/>
      <c r="F13" s="27">
        <f t="shared" si="2"/>
        <v>48374.48</v>
      </c>
      <c r="G13" s="27"/>
      <c r="H13" s="27"/>
      <c r="I13" s="26">
        <f t="shared" si="0"/>
        <v>48858.04</v>
      </c>
      <c r="J13" s="26"/>
      <c r="K13" s="26"/>
      <c r="L13" s="27">
        <f t="shared" si="1"/>
        <v>49591.08</v>
      </c>
      <c r="M13" s="27"/>
      <c r="N13" s="27"/>
    </row>
    <row r="14" spans="1:14" x14ac:dyDescent="0.2">
      <c r="A14" s="1">
        <v>10</v>
      </c>
      <c r="B14" s="22">
        <v>1.61</v>
      </c>
      <c r="C14" s="26">
        <v>50573</v>
      </c>
      <c r="D14" s="26"/>
      <c r="E14" s="26"/>
      <c r="F14" s="27">
        <f t="shared" si="2"/>
        <v>50573.32</v>
      </c>
      <c r="G14" s="27"/>
      <c r="H14" s="27"/>
      <c r="I14" s="26">
        <f t="shared" si="0"/>
        <v>51078.86</v>
      </c>
      <c r="J14" s="26"/>
      <c r="K14" s="26"/>
      <c r="L14" s="27">
        <f t="shared" si="1"/>
        <v>51845.22</v>
      </c>
      <c r="M14" s="27"/>
      <c r="N14" s="27"/>
    </row>
    <row r="15" spans="1:14" x14ac:dyDescent="0.2">
      <c r="A15" s="1">
        <v>11</v>
      </c>
      <c r="B15" s="22">
        <v>1.69</v>
      </c>
      <c r="C15" s="26">
        <v>53086</v>
      </c>
      <c r="D15" s="26"/>
      <c r="E15" s="26"/>
      <c r="F15" s="27">
        <f t="shared" si="2"/>
        <v>53086.28</v>
      </c>
      <c r="G15" s="27"/>
      <c r="H15" s="27"/>
      <c r="I15" s="26">
        <f t="shared" si="0"/>
        <v>53616.939999999995</v>
      </c>
      <c r="J15" s="26"/>
      <c r="K15" s="26"/>
      <c r="L15" s="27">
        <f t="shared" si="1"/>
        <v>54421.38</v>
      </c>
      <c r="M15" s="27"/>
      <c r="N15" s="27"/>
    </row>
    <row r="16" spans="1:14" x14ac:dyDescent="0.2">
      <c r="A16" s="1">
        <v>12</v>
      </c>
      <c r="B16" s="22">
        <v>1.77</v>
      </c>
      <c r="C16" s="26">
        <v>55599</v>
      </c>
      <c r="D16" s="26"/>
      <c r="E16" s="26"/>
      <c r="F16" s="27">
        <f t="shared" si="2"/>
        <v>55599.24</v>
      </c>
      <c r="G16" s="27"/>
      <c r="H16" s="27"/>
      <c r="I16" s="26">
        <f t="shared" si="0"/>
        <v>56155.020000000004</v>
      </c>
      <c r="J16" s="26"/>
      <c r="K16" s="26"/>
      <c r="L16" s="27">
        <f t="shared" si="1"/>
        <v>56997.54</v>
      </c>
      <c r="M16" s="27"/>
      <c r="N16" s="27"/>
    </row>
    <row r="17" spans="1:14" x14ac:dyDescent="0.2">
      <c r="A17" s="1">
        <v>13</v>
      </c>
      <c r="B17" s="22">
        <v>1.85</v>
      </c>
      <c r="C17" s="26">
        <v>58112</v>
      </c>
      <c r="D17" s="26"/>
      <c r="E17" s="26"/>
      <c r="F17" s="27">
        <f t="shared" si="2"/>
        <v>58112.200000000004</v>
      </c>
      <c r="G17" s="27"/>
      <c r="H17" s="27"/>
      <c r="I17" s="26">
        <f t="shared" si="0"/>
        <v>58693.100000000006</v>
      </c>
      <c r="J17" s="26"/>
      <c r="K17" s="26"/>
      <c r="L17" s="27">
        <f t="shared" si="1"/>
        <v>59573.700000000004</v>
      </c>
      <c r="M17" s="27"/>
      <c r="N17" s="27"/>
    </row>
    <row r="18" spans="1:14" x14ac:dyDescent="0.2">
      <c r="A18" s="24"/>
      <c r="B18" s="48"/>
      <c r="C18" s="25"/>
      <c r="D18" s="25"/>
      <c r="E18" s="26">
        <f>SUM(E7:E17)</f>
        <v>0</v>
      </c>
      <c r="F18" s="25"/>
      <c r="G18" s="27">
        <f>SUM(G7:G17)</f>
        <v>5</v>
      </c>
      <c r="H18" s="27">
        <f>SUM(H7:H17)</f>
        <v>188472</v>
      </c>
      <c r="I18" s="25"/>
      <c r="J18" s="26">
        <f>SUM(J7:J17)</f>
        <v>9</v>
      </c>
      <c r="K18" s="26">
        <f>SUM(K7:K17)</f>
        <v>350572.3</v>
      </c>
      <c r="L18" s="25"/>
      <c r="M18" s="27">
        <f>SUM(M7:M17)</f>
        <v>13</v>
      </c>
      <c r="N18" s="27">
        <f>SUM(N7:N17)</f>
        <v>524892.6</v>
      </c>
    </row>
    <row r="19" spans="1:14" x14ac:dyDescent="0.2">
      <c r="A19" s="118" t="s">
        <v>43</v>
      </c>
      <c r="B19" s="119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x14ac:dyDescent="0.2">
      <c r="A20" s="114" t="s">
        <v>38</v>
      </c>
      <c r="B20" s="115"/>
      <c r="C20" s="28">
        <f>Assumptions!B9+Assumptions!B10</f>
        <v>65021</v>
      </c>
      <c r="D20" s="27">
        <f>Assumptions!B20</f>
        <v>5</v>
      </c>
      <c r="E20" s="27">
        <f>C20*D20</f>
        <v>325105</v>
      </c>
      <c r="F20" s="26">
        <f>Assumptions!C9+Assumptions!C10</f>
        <v>65642.959999999992</v>
      </c>
      <c r="G20" s="26">
        <f>J18</f>
        <v>9</v>
      </c>
      <c r="H20" s="26">
        <f>F20*G20</f>
        <v>590786.6399999999</v>
      </c>
      <c r="I20" s="27">
        <f>Assumptions!D9+Assumptions!D10</f>
        <v>66585.229399999997</v>
      </c>
      <c r="J20" s="27">
        <f>M18</f>
        <v>13</v>
      </c>
      <c r="K20" s="27">
        <f>I20*J20</f>
        <v>865607.98219999997</v>
      </c>
      <c r="L20" s="26">
        <f>Assumptions!E9+Assumptions!E10</f>
        <v>67860.433988000004</v>
      </c>
      <c r="M20" s="26">
        <f>D37</f>
        <v>18</v>
      </c>
      <c r="N20" s="26">
        <f>L20*M20</f>
        <v>1221487.8117840001</v>
      </c>
    </row>
    <row r="21" spans="1:14" x14ac:dyDescent="0.2">
      <c r="A21" s="116" t="s">
        <v>42</v>
      </c>
      <c r="B21" s="117"/>
    </row>
    <row r="22" spans="1:14" ht="24.75" customHeight="1" x14ac:dyDescent="0.2"/>
    <row r="23" spans="1:14" x14ac:dyDescent="0.2">
      <c r="C23" s="120" t="s">
        <v>29</v>
      </c>
      <c r="D23" s="121"/>
      <c r="E23" s="104"/>
      <c r="F23" s="120" t="s">
        <v>30</v>
      </c>
      <c r="G23" s="121"/>
      <c r="H23" s="104"/>
      <c r="I23" s="105" t="s">
        <v>31</v>
      </c>
      <c r="J23" s="105"/>
      <c r="K23" s="105"/>
      <c r="L23" s="105" t="s">
        <v>32</v>
      </c>
      <c r="M23" s="105"/>
      <c r="N23" s="105"/>
    </row>
    <row r="24" spans="1:14" x14ac:dyDescent="0.2">
      <c r="A24" s="23" t="s">
        <v>36</v>
      </c>
      <c r="B24" s="1" t="s">
        <v>36</v>
      </c>
      <c r="C24" s="26">
        <f>ROUND(L5*(1+Assumptions!E17),0)</f>
        <v>32846</v>
      </c>
      <c r="D24" s="26"/>
      <c r="E24" s="26"/>
      <c r="F24" s="27">
        <f>ROUND(C24*(1+Assumptions!F17),0)</f>
        <v>33503</v>
      </c>
      <c r="G24" s="27"/>
      <c r="H24" s="27"/>
      <c r="I24" s="26">
        <f>ROUND(F24*(1+Assumptions!G17),0)</f>
        <v>34173</v>
      </c>
      <c r="J24" s="31"/>
      <c r="K24" s="31"/>
      <c r="L24" s="27">
        <f>ROUND(I24*(1+Assumptions!I17),0)</f>
        <v>34856</v>
      </c>
      <c r="M24" s="32"/>
      <c r="N24" s="32"/>
    </row>
    <row r="25" spans="1:14" x14ac:dyDescent="0.2">
      <c r="A25" s="1" t="s">
        <v>35</v>
      </c>
      <c r="B25" s="1" t="s">
        <v>37</v>
      </c>
      <c r="C25" s="4"/>
      <c r="D25" s="4"/>
      <c r="E25" s="4"/>
      <c r="F25" s="4"/>
      <c r="G25" s="4"/>
      <c r="H25" s="4"/>
      <c r="I25" s="30"/>
      <c r="J25" s="29"/>
      <c r="K25" s="29"/>
      <c r="L25" s="30"/>
      <c r="M25" s="29"/>
      <c r="N25" s="29"/>
    </row>
    <row r="26" spans="1:14" x14ac:dyDescent="0.2">
      <c r="A26" s="1">
        <v>3</v>
      </c>
      <c r="B26" s="22">
        <v>1.2</v>
      </c>
      <c r="C26" s="26">
        <f t="shared" ref="C26:C36" si="3">C$24*$B7</f>
        <v>39415.199999999997</v>
      </c>
      <c r="D26" s="26">
        <f>'Cost Sheet'!E24</f>
        <v>5</v>
      </c>
      <c r="E26" s="26">
        <f>C26*D26</f>
        <v>197076</v>
      </c>
      <c r="F26" s="27">
        <f t="shared" ref="F26:F36" si="4">F$24*$B7</f>
        <v>40203.599999999999</v>
      </c>
      <c r="G26" s="27">
        <f>'Cost Sheet'!F24</f>
        <v>0</v>
      </c>
      <c r="H26" s="27">
        <f>F26*G26</f>
        <v>0</v>
      </c>
      <c r="I26" s="26">
        <f t="shared" ref="I26:I36" si="5">I$24*$B7</f>
        <v>41007.599999999999</v>
      </c>
      <c r="J26" s="31"/>
      <c r="K26" s="26"/>
      <c r="L26" s="27">
        <f t="shared" ref="L26:L36" si="6">L$24*$B7</f>
        <v>41827.199999999997</v>
      </c>
      <c r="M26" s="32"/>
      <c r="N26" s="27"/>
    </row>
    <row r="27" spans="1:14" x14ac:dyDescent="0.2">
      <c r="A27" s="1">
        <v>4</v>
      </c>
      <c r="B27" s="22">
        <v>1.25</v>
      </c>
      <c r="C27" s="26">
        <f t="shared" si="3"/>
        <v>41057.5</v>
      </c>
      <c r="D27" s="26">
        <f>M7</f>
        <v>4</v>
      </c>
      <c r="E27" s="26">
        <f>C27*D27</f>
        <v>164230</v>
      </c>
      <c r="F27" s="27">
        <f t="shared" si="4"/>
        <v>41878.75</v>
      </c>
      <c r="G27" s="27">
        <f>D26</f>
        <v>5</v>
      </c>
      <c r="H27" s="27">
        <f>F27*G27</f>
        <v>209393.75</v>
      </c>
      <c r="I27" s="26">
        <f t="shared" si="5"/>
        <v>42716.25</v>
      </c>
      <c r="J27" s="26">
        <f>G26</f>
        <v>0</v>
      </c>
      <c r="K27" s="26">
        <f>I27*J27</f>
        <v>0</v>
      </c>
      <c r="L27" s="27">
        <f t="shared" si="6"/>
        <v>43570</v>
      </c>
      <c r="M27" s="27"/>
      <c r="N27" s="27"/>
    </row>
    <row r="28" spans="1:14" x14ac:dyDescent="0.2">
      <c r="A28" s="1">
        <v>5</v>
      </c>
      <c r="B28" s="22">
        <v>1.3</v>
      </c>
      <c r="C28" s="26">
        <f t="shared" si="3"/>
        <v>42699.8</v>
      </c>
      <c r="D28" s="26">
        <f>M8</f>
        <v>4</v>
      </c>
      <c r="E28" s="26">
        <f>C28*D28</f>
        <v>170799.2</v>
      </c>
      <c r="F28" s="27">
        <f t="shared" si="4"/>
        <v>43553.9</v>
      </c>
      <c r="G28" s="27">
        <f>D27</f>
        <v>4</v>
      </c>
      <c r="H28" s="27">
        <f>F28*G28</f>
        <v>174215.6</v>
      </c>
      <c r="I28" s="26">
        <f t="shared" si="5"/>
        <v>44424.9</v>
      </c>
      <c r="J28" s="26">
        <f>G27</f>
        <v>5</v>
      </c>
      <c r="K28" s="26">
        <f>I28*J28</f>
        <v>222124.5</v>
      </c>
      <c r="L28" s="27">
        <f t="shared" si="6"/>
        <v>45312.800000000003</v>
      </c>
      <c r="M28" s="27">
        <f>J27</f>
        <v>0</v>
      </c>
      <c r="N28" s="27">
        <f>L28*M28</f>
        <v>0</v>
      </c>
    </row>
    <row r="29" spans="1:14" x14ac:dyDescent="0.2">
      <c r="A29" s="1">
        <v>6</v>
      </c>
      <c r="B29" s="22">
        <v>1.35</v>
      </c>
      <c r="C29" s="26">
        <f t="shared" si="3"/>
        <v>44342.100000000006</v>
      </c>
      <c r="D29" s="26">
        <f>M9</f>
        <v>5</v>
      </c>
      <c r="E29" s="26">
        <f>C29*D29</f>
        <v>221710.50000000003</v>
      </c>
      <c r="F29" s="27">
        <f t="shared" si="4"/>
        <v>45229.05</v>
      </c>
      <c r="G29" s="27">
        <f>D28</f>
        <v>4</v>
      </c>
      <c r="H29" s="27">
        <f>F29*G29</f>
        <v>180916.2</v>
      </c>
      <c r="I29" s="26">
        <f t="shared" si="5"/>
        <v>46133.55</v>
      </c>
      <c r="J29" s="26">
        <f>G28</f>
        <v>4</v>
      </c>
      <c r="K29" s="26">
        <f>I29*J29</f>
        <v>184534.2</v>
      </c>
      <c r="L29" s="27">
        <f t="shared" si="6"/>
        <v>47055.600000000006</v>
      </c>
      <c r="M29" s="27">
        <f>J28</f>
        <v>5</v>
      </c>
      <c r="N29" s="27">
        <f>L29*M29</f>
        <v>235278.00000000003</v>
      </c>
    </row>
    <row r="30" spans="1:14" x14ac:dyDescent="0.2">
      <c r="A30" s="1">
        <v>7</v>
      </c>
      <c r="B30" s="22">
        <v>1.41</v>
      </c>
      <c r="C30" s="26">
        <f t="shared" si="3"/>
        <v>46312.86</v>
      </c>
      <c r="D30" s="26"/>
      <c r="E30" s="26"/>
      <c r="F30" s="27">
        <f t="shared" si="4"/>
        <v>47239.229999999996</v>
      </c>
      <c r="G30" s="27">
        <f>D29</f>
        <v>5</v>
      </c>
      <c r="H30" s="27">
        <f>F30*G30</f>
        <v>236196.14999999997</v>
      </c>
      <c r="I30" s="26">
        <f t="shared" si="5"/>
        <v>48183.93</v>
      </c>
      <c r="J30" s="26">
        <f>G29</f>
        <v>4</v>
      </c>
      <c r="K30" s="26">
        <f>I30*J30</f>
        <v>192735.72</v>
      </c>
      <c r="L30" s="27">
        <f t="shared" si="6"/>
        <v>49146.96</v>
      </c>
      <c r="M30" s="27">
        <f>J29</f>
        <v>4</v>
      </c>
      <c r="N30" s="27">
        <f>L30*M30</f>
        <v>196587.84</v>
      </c>
    </row>
    <row r="31" spans="1:14" x14ac:dyDescent="0.2">
      <c r="A31" s="1">
        <v>8</v>
      </c>
      <c r="B31" s="22">
        <v>1.47</v>
      </c>
      <c r="C31" s="26">
        <f t="shared" si="3"/>
        <v>48283.62</v>
      </c>
      <c r="D31" s="26"/>
      <c r="E31" s="26"/>
      <c r="F31" s="27">
        <f t="shared" si="4"/>
        <v>49249.409999999996</v>
      </c>
      <c r="G31" s="27"/>
      <c r="H31" s="27"/>
      <c r="I31" s="26">
        <f t="shared" si="5"/>
        <v>50234.31</v>
      </c>
      <c r="J31" s="26">
        <f>G30</f>
        <v>5</v>
      </c>
      <c r="K31" s="26">
        <f>I31*J31</f>
        <v>251171.55</v>
      </c>
      <c r="L31" s="27">
        <f t="shared" si="6"/>
        <v>51238.32</v>
      </c>
      <c r="M31" s="27">
        <f>J30</f>
        <v>4</v>
      </c>
      <c r="N31" s="27">
        <f>L31*M31</f>
        <v>204953.28</v>
      </c>
    </row>
    <row r="32" spans="1:14" x14ac:dyDescent="0.2">
      <c r="A32" s="1">
        <v>9</v>
      </c>
      <c r="B32" s="22">
        <v>1.54</v>
      </c>
      <c r="C32" s="26">
        <f t="shared" si="3"/>
        <v>50582.840000000004</v>
      </c>
      <c r="D32" s="26"/>
      <c r="E32" s="26"/>
      <c r="F32" s="27">
        <f t="shared" si="4"/>
        <v>51594.62</v>
      </c>
      <c r="G32" s="27"/>
      <c r="H32" s="27"/>
      <c r="I32" s="26">
        <f t="shared" si="5"/>
        <v>52626.42</v>
      </c>
      <c r="J32" s="31"/>
      <c r="K32" s="26"/>
      <c r="L32" s="27">
        <f t="shared" si="6"/>
        <v>53678.239999999998</v>
      </c>
      <c r="M32" s="27">
        <f>J31</f>
        <v>5</v>
      </c>
      <c r="N32" s="27">
        <f>L32*M32</f>
        <v>268391.2</v>
      </c>
    </row>
    <row r="33" spans="1:14" x14ac:dyDescent="0.2">
      <c r="A33" s="1">
        <v>10</v>
      </c>
      <c r="B33" s="22">
        <v>1.61</v>
      </c>
      <c r="C33" s="26">
        <f t="shared" si="3"/>
        <v>52882.060000000005</v>
      </c>
      <c r="D33" s="26"/>
      <c r="E33" s="26"/>
      <c r="F33" s="27">
        <f t="shared" si="4"/>
        <v>53939.83</v>
      </c>
      <c r="G33" s="27"/>
      <c r="H33" s="27"/>
      <c r="I33" s="26">
        <f t="shared" si="5"/>
        <v>55018.530000000006</v>
      </c>
      <c r="J33" s="31"/>
      <c r="K33" s="26"/>
      <c r="L33" s="27">
        <f t="shared" si="6"/>
        <v>56118.16</v>
      </c>
      <c r="M33" s="32"/>
      <c r="N33" s="27"/>
    </row>
    <row r="34" spans="1:14" x14ac:dyDescent="0.2">
      <c r="A34" s="1">
        <v>11</v>
      </c>
      <c r="B34" s="22">
        <v>1.69</v>
      </c>
      <c r="C34" s="26">
        <f t="shared" si="3"/>
        <v>55509.74</v>
      </c>
      <c r="D34" s="26"/>
      <c r="E34" s="26"/>
      <c r="F34" s="27">
        <f t="shared" si="4"/>
        <v>56620.07</v>
      </c>
      <c r="G34" s="27"/>
      <c r="H34" s="27"/>
      <c r="I34" s="26">
        <f t="shared" si="5"/>
        <v>57752.369999999995</v>
      </c>
      <c r="J34" s="31"/>
      <c r="K34" s="26"/>
      <c r="L34" s="27">
        <f t="shared" si="6"/>
        <v>58906.64</v>
      </c>
      <c r="M34" s="32"/>
      <c r="N34" s="27"/>
    </row>
    <row r="35" spans="1:14" x14ac:dyDescent="0.2">
      <c r="A35" s="1">
        <v>12</v>
      </c>
      <c r="B35" s="22">
        <v>1.77</v>
      </c>
      <c r="C35" s="26">
        <f t="shared" si="3"/>
        <v>58137.42</v>
      </c>
      <c r="D35" s="26"/>
      <c r="E35" s="26"/>
      <c r="F35" s="27">
        <f t="shared" si="4"/>
        <v>59300.31</v>
      </c>
      <c r="G35" s="27"/>
      <c r="H35" s="27"/>
      <c r="I35" s="26">
        <f t="shared" si="5"/>
        <v>60486.21</v>
      </c>
      <c r="J35" s="31"/>
      <c r="K35" s="26"/>
      <c r="L35" s="27">
        <f t="shared" si="6"/>
        <v>61695.12</v>
      </c>
      <c r="M35" s="32"/>
      <c r="N35" s="27"/>
    </row>
    <row r="36" spans="1:14" x14ac:dyDescent="0.2">
      <c r="A36" s="1">
        <v>13</v>
      </c>
      <c r="B36" s="22">
        <v>1.85</v>
      </c>
      <c r="C36" s="26">
        <f t="shared" si="3"/>
        <v>60765.100000000006</v>
      </c>
      <c r="D36" s="26"/>
      <c r="E36" s="26"/>
      <c r="F36" s="27">
        <f t="shared" si="4"/>
        <v>61980.55</v>
      </c>
      <c r="G36" s="27"/>
      <c r="H36" s="27"/>
      <c r="I36" s="26">
        <f t="shared" si="5"/>
        <v>63220.05</v>
      </c>
      <c r="J36" s="31"/>
      <c r="K36" s="26"/>
      <c r="L36" s="27">
        <f t="shared" si="6"/>
        <v>64483.600000000006</v>
      </c>
      <c r="M36" s="32"/>
      <c r="N36" s="27"/>
    </row>
    <row r="37" spans="1:14" x14ac:dyDescent="0.2">
      <c r="A37" s="24"/>
      <c r="B37" s="48"/>
      <c r="C37" s="49"/>
      <c r="D37" s="26">
        <f>SUM(D26:D36)</f>
        <v>18</v>
      </c>
      <c r="E37" s="26">
        <f>SUM(E26:E36)</f>
        <v>753815.7</v>
      </c>
      <c r="F37" s="25"/>
      <c r="G37" s="27">
        <f>SUM(G26:G36)</f>
        <v>18</v>
      </c>
      <c r="H37" s="27">
        <f>SUM(H26:H36)</f>
        <v>800721.7</v>
      </c>
      <c r="I37" s="25"/>
      <c r="J37" s="26">
        <f>SUM(J26:J36)</f>
        <v>18</v>
      </c>
      <c r="K37" s="26">
        <f>SUM(K26:K36)</f>
        <v>850565.97</v>
      </c>
      <c r="L37" s="25"/>
      <c r="M37" s="27">
        <f>SUM(M26:M36)</f>
        <v>18</v>
      </c>
      <c r="N37" s="27">
        <f>SUM(N26:N36)</f>
        <v>905210.32000000007</v>
      </c>
    </row>
    <row r="38" spans="1:14" x14ac:dyDescent="0.2">
      <c r="A38" s="118" t="s">
        <v>43</v>
      </c>
      <c r="B38" s="119"/>
      <c r="C38" s="21"/>
      <c r="D38" s="21"/>
      <c r="E38" s="21"/>
      <c r="F38" s="21"/>
      <c r="G38" s="21"/>
      <c r="H38" s="21"/>
      <c r="I38" s="21"/>
    </row>
    <row r="39" spans="1:14" x14ac:dyDescent="0.2">
      <c r="A39" s="114" t="s">
        <v>38</v>
      </c>
      <c r="B39" s="115"/>
      <c r="C39" s="27">
        <f>Assumptions!F9+Assumptions!F10</f>
        <v>69161.142667759996</v>
      </c>
      <c r="D39" s="27">
        <f>G37</f>
        <v>18</v>
      </c>
      <c r="E39" s="27">
        <f>C39*D39</f>
        <v>1244900.56801968</v>
      </c>
      <c r="F39" s="26">
        <f>Assumptions!G9+Assumptions!G10</f>
        <v>70487.865521115193</v>
      </c>
      <c r="G39" s="26">
        <f>J37</f>
        <v>18</v>
      </c>
      <c r="H39" s="26">
        <f>F39*G39</f>
        <v>1268781.5793800736</v>
      </c>
      <c r="I39" s="27">
        <f>Assumptions!H9+Assumptions!H10</f>
        <v>71841.122831537505</v>
      </c>
      <c r="J39" s="33">
        <f>J37</f>
        <v>18</v>
      </c>
      <c r="K39" s="27">
        <f>I39*J39</f>
        <v>1293140.2109676751</v>
      </c>
    </row>
    <row r="40" spans="1:14" x14ac:dyDescent="0.2">
      <c r="A40" s="116" t="s">
        <v>42</v>
      </c>
      <c r="B40" s="117"/>
    </row>
  </sheetData>
  <mergeCells count="14">
    <mergeCell ref="L4:N4"/>
    <mergeCell ref="C23:E23"/>
    <mergeCell ref="F23:H23"/>
    <mergeCell ref="I23:K23"/>
    <mergeCell ref="C4:E4"/>
    <mergeCell ref="F4:H4"/>
    <mergeCell ref="I4:K4"/>
    <mergeCell ref="L23:N23"/>
    <mergeCell ref="A39:B39"/>
    <mergeCell ref="A40:B40"/>
    <mergeCell ref="A19:B19"/>
    <mergeCell ref="A20:B20"/>
    <mergeCell ref="A21:B21"/>
    <mergeCell ref="A38:B38"/>
  </mergeCells>
  <phoneticPr fontId="0" type="noConversion"/>
  <pageMargins left="0.75" right="0.75" top="0.39" bottom="0.6" header="0.18" footer="0.24"/>
  <pageSetup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Assumptions</vt:lpstr>
      <vt:lpstr>Cost Sheet</vt:lpstr>
      <vt:lpstr>Plan Cost</vt:lpstr>
      <vt:lpstr>Normal Retirements</vt:lpstr>
      <vt:lpstr>Assumptions!Print_Area</vt:lpstr>
      <vt:lpstr>'Cost Sheet'!Print_Area</vt:lpstr>
      <vt:lpstr>'Normal Retirements'!Print_Area</vt:lpstr>
      <vt:lpstr>'Plan Cost'!Print_Area</vt:lpstr>
      <vt:lpstr>Summary!Print_Area</vt:lpstr>
    </vt:vector>
  </TitlesOfParts>
  <Company>Grand Ledge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Office</dc:creator>
  <cp:lastModifiedBy>Pat Korloch</cp:lastModifiedBy>
  <cp:lastPrinted>2007-03-13T18:01:30Z</cp:lastPrinted>
  <dcterms:created xsi:type="dcterms:W3CDTF">1997-10-08T13:56:09Z</dcterms:created>
  <dcterms:modified xsi:type="dcterms:W3CDTF">2014-10-13T20:16:05Z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1605402262</vt:i4>
  </property>
  <property fmtid="{D5CDD505-2E9C-101B-9397-08002B2CF9AE}" pid="3" name="_EmailSubject">
    <vt:lpwstr>Library Files - Human Resources</vt:lpwstr>
  </property>
  <property fmtid="{D5CDD505-2E9C-101B-9397-08002B2CF9AE}" pid="4" name="_AuthorEmail">
    <vt:lpwstr>tblackmer@msbo.org</vt:lpwstr>
  </property>
  <property fmtid="{D5CDD505-2E9C-101B-9397-08002B2CF9AE}" pid="5" name="_AuthorEmailDisplayName">
    <vt:lpwstr>Trudy Blackmer</vt:lpwstr>
  </property>
  <property fmtid="{D5CDD505-2E9C-101B-9397-08002B2CF9AE}" pid="6" name="_ReviewingToolsShownOnce">
    <vt:lpwstr/>
  </property>
</Properties>
</file>