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660" activeTab="13"/>
  </bookViews>
  <sheets>
    <sheet name="Pupil count for 5 year plan" sheetId="9" r:id="rId1"/>
    <sheet name="05-06 Final rev" sheetId="21" r:id="rId2"/>
    <sheet name="05-06 w 2006 est costs" sheetId="23" r:id="rId3"/>
    <sheet name="05-06 w final 2006 costs" sheetId="24" r:id="rId4"/>
    <sheet name="06-07 prop" sheetId="22" r:id="rId5"/>
    <sheet name="06-07 First rev" sheetId="25" r:id="rId6"/>
    <sheet name="06-07 Final rev" sheetId="27" r:id="rId7"/>
    <sheet name="06-07 final w est" sheetId="26" r:id="rId8"/>
    <sheet name="06-07 final" sheetId="31" r:id="rId9"/>
    <sheet name="07-08 prop" sheetId="28" r:id="rId10"/>
    <sheet name="07-08 prop adj py" sheetId="30" r:id="rId11"/>
    <sheet name="First rev 07-08" sheetId="32" r:id="rId12"/>
    <sheet name="07-08 adj in 08-09" sheetId="34" r:id="rId13"/>
    <sheet name="08-09 proj" sheetId="29" r:id="rId14"/>
    <sheet name="09-10 proj" sheetId="33" r:id="rId15"/>
  </sheets>
  <calcPr calcId="145621"/>
</workbook>
</file>

<file path=xl/calcChain.xml><?xml version="1.0" encoding="utf-8"?>
<calcChain xmlns="http://schemas.openxmlformats.org/spreadsheetml/2006/main">
  <c r="G42" i="21" l="1"/>
  <c r="G41" i="21"/>
  <c r="G79" i="21"/>
  <c r="G80" i="21"/>
  <c r="G83" i="21"/>
  <c r="I85" i="21"/>
  <c r="I87" i="21" s="1"/>
  <c r="K92" i="21" s="1"/>
  <c r="I112" i="21" s="1"/>
  <c r="I89" i="21"/>
  <c r="G97" i="21"/>
  <c r="I99" i="21" s="1"/>
  <c r="G101" i="21"/>
  <c r="I103" i="21" s="1"/>
  <c r="K105" i="21"/>
  <c r="I114" i="21" s="1"/>
  <c r="G10" i="21"/>
  <c r="I15" i="21"/>
  <c r="I17" i="21" s="1"/>
  <c r="I22" i="21" s="1"/>
  <c r="I19" i="21"/>
  <c r="K26" i="21"/>
  <c r="G32" i="21"/>
  <c r="G34" i="21"/>
  <c r="K39" i="21" s="1"/>
  <c r="I51" i="21" s="1"/>
  <c r="I45" i="21"/>
  <c r="I49" i="21"/>
  <c r="G61" i="21"/>
  <c r="K62" i="21" s="1"/>
  <c r="K58" i="21"/>
  <c r="A72" i="21"/>
  <c r="A69" i="21"/>
  <c r="K11" i="21"/>
  <c r="K65" i="21"/>
  <c r="H37" i="21"/>
  <c r="G79" i="23"/>
  <c r="G80" i="23" s="1"/>
  <c r="G83" i="23"/>
  <c r="I89" i="23" s="1"/>
  <c r="G97" i="23"/>
  <c r="I99" i="23"/>
  <c r="G101" i="23"/>
  <c r="I103" i="23"/>
  <c r="G10" i="23"/>
  <c r="I15" i="23" s="1"/>
  <c r="I17" i="23"/>
  <c r="I19" i="23"/>
  <c r="I22" i="23"/>
  <c r="K26" i="23" s="1"/>
  <c r="G32" i="23"/>
  <c r="G34" i="23" s="1"/>
  <c r="K39" i="23"/>
  <c r="I51" i="23" s="1"/>
  <c r="I45" i="23"/>
  <c r="I49" i="23"/>
  <c r="K53" i="23" s="1"/>
  <c r="G57" i="23" s="1"/>
  <c r="G61" i="23"/>
  <c r="K62" i="23"/>
  <c r="K58" i="23"/>
  <c r="A72" i="23"/>
  <c r="A69" i="23"/>
  <c r="K11" i="23"/>
  <c r="H37" i="23"/>
  <c r="K65" i="24"/>
  <c r="G79" i="24"/>
  <c r="G80" i="24"/>
  <c r="G83" i="24"/>
  <c r="I85" i="24"/>
  <c r="I87" i="24" s="1"/>
  <c r="I89" i="24"/>
  <c r="G97" i="24"/>
  <c r="I99" i="24" s="1"/>
  <c r="G101" i="24"/>
  <c r="I103" i="24" s="1"/>
  <c r="K105" i="24" s="1"/>
  <c r="I114" i="24" s="1"/>
  <c r="G10" i="24"/>
  <c r="I15" i="24"/>
  <c r="I17" i="24" s="1"/>
  <c r="I19" i="24"/>
  <c r="G32" i="24"/>
  <c r="G34" i="24"/>
  <c r="K39" i="24" s="1"/>
  <c r="I45" i="24"/>
  <c r="I49" i="24"/>
  <c r="I51" i="24"/>
  <c r="G61" i="24"/>
  <c r="K62" i="24" s="1"/>
  <c r="K58" i="24"/>
  <c r="A72" i="24"/>
  <c r="A69" i="24"/>
  <c r="H37" i="24"/>
  <c r="K11" i="24"/>
  <c r="G79" i="31"/>
  <c r="G80" i="31"/>
  <c r="G83" i="31"/>
  <c r="I85" i="31"/>
  <c r="I87" i="31" s="1"/>
  <c r="K92" i="31" s="1"/>
  <c r="I112" i="31" s="1"/>
  <c r="I89" i="31"/>
  <c r="G97" i="31"/>
  <c r="I99" i="31" s="1"/>
  <c r="G101" i="31"/>
  <c r="I103" i="31" s="1"/>
  <c r="K105" i="31"/>
  <c r="I114" i="31" s="1"/>
  <c r="G10" i="31"/>
  <c r="I15" i="31"/>
  <c r="I17" i="31" s="1"/>
  <c r="I22" i="31" s="1"/>
  <c r="I19" i="31"/>
  <c r="K26" i="31"/>
  <c r="G32" i="31"/>
  <c r="G34" i="31"/>
  <c r="K39" i="31" s="1"/>
  <c r="I51" i="31" s="1"/>
  <c r="I45" i="31"/>
  <c r="I49" i="31"/>
  <c r="G61" i="31"/>
  <c r="K62" i="31" s="1"/>
  <c r="K58" i="31"/>
  <c r="A72" i="31"/>
  <c r="A69" i="31"/>
  <c r="H47" i="31"/>
  <c r="H37" i="31"/>
  <c r="K10" i="31"/>
  <c r="G79" i="27"/>
  <c r="G80" i="27" s="1"/>
  <c r="G83" i="27"/>
  <c r="I89" i="27" s="1"/>
  <c r="G97" i="27"/>
  <c r="I99" i="27"/>
  <c r="G101" i="27"/>
  <c r="I103" i="27"/>
  <c r="G10" i="27"/>
  <c r="I15" i="27" s="1"/>
  <c r="I17" i="27"/>
  <c r="I19" i="27"/>
  <c r="I22" i="27"/>
  <c r="K26" i="27" s="1"/>
  <c r="G32" i="27"/>
  <c r="G34" i="27" s="1"/>
  <c r="K39" i="27"/>
  <c r="I51" i="27" s="1"/>
  <c r="I45" i="27"/>
  <c r="I49" i="27"/>
  <c r="K53" i="27" s="1"/>
  <c r="G57" i="27" s="1"/>
  <c r="G61" i="27"/>
  <c r="K62" i="27"/>
  <c r="K58" i="27"/>
  <c r="A72" i="27"/>
  <c r="A69" i="27"/>
  <c r="K65" i="27"/>
  <c r="H37" i="27"/>
  <c r="K10" i="27"/>
  <c r="I45" i="26"/>
  <c r="I49" i="26"/>
  <c r="G32" i="26"/>
  <c r="G34" i="26"/>
  <c r="K39" i="26" s="1"/>
  <c r="I51" i="26"/>
  <c r="G10" i="26"/>
  <c r="I19" i="26"/>
  <c r="G61" i="26"/>
  <c r="K62" i="26" s="1"/>
  <c r="K58" i="26"/>
  <c r="H47" i="26"/>
  <c r="G79" i="26"/>
  <c r="G80" i="26" s="1"/>
  <c r="G83" i="26"/>
  <c r="I89" i="26" s="1"/>
  <c r="G97" i="26"/>
  <c r="I99" i="26"/>
  <c r="G101" i="26"/>
  <c r="I103" i="26"/>
  <c r="A72" i="26"/>
  <c r="A69" i="26"/>
  <c r="H37" i="26"/>
  <c r="G10" i="25"/>
  <c r="K10" i="25" s="1"/>
  <c r="G79" i="25"/>
  <c r="G80" i="25" s="1"/>
  <c r="I85" i="25" s="1"/>
  <c r="G83" i="25"/>
  <c r="I89" i="25" s="1"/>
  <c r="I87" i="25"/>
  <c r="K92" i="25" s="1"/>
  <c r="G97" i="25"/>
  <c r="I99" i="25"/>
  <c r="G101" i="25"/>
  <c r="I103" i="25"/>
  <c r="I15" i="25"/>
  <c r="I17" i="25" s="1"/>
  <c r="I22" i="25" s="1"/>
  <c r="I19" i="25"/>
  <c r="K26" i="25"/>
  <c r="G32" i="25"/>
  <c r="G34" i="25"/>
  <c r="K39" i="25" s="1"/>
  <c r="I51" i="25" s="1"/>
  <c r="K53" i="25" s="1"/>
  <c r="I45" i="25"/>
  <c r="I49" i="25"/>
  <c r="G61" i="25"/>
  <c r="K62" i="25"/>
  <c r="K58" i="25"/>
  <c r="A72" i="25"/>
  <c r="A69" i="25"/>
  <c r="K65" i="25"/>
  <c r="H37" i="25"/>
  <c r="I7" i="22"/>
  <c r="I17" i="22" s="1"/>
  <c r="I22" i="22" s="1"/>
  <c r="K26" i="22" s="1"/>
  <c r="G9" i="22"/>
  <c r="G13" i="22"/>
  <c r="G83" i="22" s="1"/>
  <c r="G79" i="22"/>
  <c r="G80" i="22"/>
  <c r="G97" i="22"/>
  <c r="I99" i="22" s="1"/>
  <c r="K105" i="22" s="1"/>
  <c r="I114" i="22" s="1"/>
  <c r="G101" i="22"/>
  <c r="I103" i="22" s="1"/>
  <c r="G10" i="22"/>
  <c r="I15" i="22"/>
  <c r="I19" i="22"/>
  <c r="I45" i="22"/>
  <c r="I49" i="22"/>
  <c r="G61" i="22"/>
  <c r="K62" i="22" s="1"/>
  <c r="K58" i="22"/>
  <c r="A72" i="22"/>
  <c r="A69" i="22"/>
  <c r="K11" i="22"/>
  <c r="K65" i="22"/>
  <c r="H37" i="22"/>
  <c r="I45" i="34"/>
  <c r="G47" i="34"/>
  <c r="I49" i="34"/>
  <c r="G32" i="34"/>
  <c r="G34" i="34"/>
  <c r="K39" i="34" s="1"/>
  <c r="I51" i="34" s="1"/>
  <c r="G10" i="34"/>
  <c r="I15" i="34" s="1"/>
  <c r="I17" i="34" s="1"/>
  <c r="I22" i="34" s="1"/>
  <c r="K26" i="34" s="1"/>
  <c r="I19" i="34"/>
  <c r="G61" i="34"/>
  <c r="K62" i="34" s="1"/>
  <c r="K58" i="34"/>
  <c r="K65" i="34"/>
  <c r="G80" i="34"/>
  <c r="G81" i="34"/>
  <c r="G84" i="34"/>
  <c r="I86" i="34"/>
  <c r="I88" i="34" s="1"/>
  <c r="K93" i="34" s="1"/>
  <c r="I90" i="34"/>
  <c r="G98" i="34"/>
  <c r="I100" i="34" s="1"/>
  <c r="G102" i="34"/>
  <c r="I104" i="34" s="1"/>
  <c r="A73" i="34"/>
  <c r="F71" i="34"/>
  <c r="A70" i="34"/>
  <c r="H47" i="34"/>
  <c r="H37" i="34"/>
  <c r="K10" i="34"/>
  <c r="K30" i="28"/>
  <c r="K67" i="28"/>
  <c r="F70" i="28"/>
  <c r="H47" i="28"/>
  <c r="G79" i="28"/>
  <c r="G80" i="28"/>
  <c r="G83" i="28"/>
  <c r="I85" i="28"/>
  <c r="I87" i="28" s="1"/>
  <c r="K92" i="28" s="1"/>
  <c r="I89" i="28"/>
  <c r="G97" i="28"/>
  <c r="I99" i="28" s="1"/>
  <c r="K105" i="28" s="1"/>
  <c r="I114" i="28" s="1"/>
  <c r="G101" i="28"/>
  <c r="I103" i="28" s="1"/>
  <c r="G10" i="28"/>
  <c r="I15" i="28"/>
  <c r="I17" i="28" s="1"/>
  <c r="I22" i="28" s="1"/>
  <c r="K26" i="28" s="1"/>
  <c r="I19" i="28"/>
  <c r="G32" i="28"/>
  <c r="G34" i="28"/>
  <c r="K39" i="28" s="1"/>
  <c r="I51" i="28" s="1"/>
  <c r="I45" i="28"/>
  <c r="I49" i="28"/>
  <c r="G61" i="28"/>
  <c r="K62" i="28" s="1"/>
  <c r="K58" i="28"/>
  <c r="A72" i="28"/>
  <c r="A69" i="28"/>
  <c r="K65" i="28"/>
  <c r="H37" i="28"/>
  <c r="K10" i="28"/>
  <c r="G10" i="30"/>
  <c r="I15" i="30" s="1"/>
  <c r="I17" i="30" s="1"/>
  <c r="I22" i="30" s="1"/>
  <c r="K26" i="30" s="1"/>
  <c r="I19" i="30"/>
  <c r="G32" i="30"/>
  <c r="G34" i="30" s="1"/>
  <c r="K39" i="30" s="1"/>
  <c r="I51" i="30" s="1"/>
  <c r="K53" i="30" s="1"/>
  <c r="G57" i="30" s="1"/>
  <c r="I45" i="30"/>
  <c r="I49" i="30"/>
  <c r="G61" i="30"/>
  <c r="K62" i="30"/>
  <c r="K58" i="30"/>
  <c r="G80" i="30"/>
  <c r="G81" i="30" s="1"/>
  <c r="I86" i="30" s="1"/>
  <c r="I88" i="30" s="1"/>
  <c r="K93" i="30" s="1"/>
  <c r="G84" i="30"/>
  <c r="I90" i="30" s="1"/>
  <c r="G98" i="30"/>
  <c r="I100" i="30"/>
  <c r="K106" i="30" s="1"/>
  <c r="I115" i="30" s="1"/>
  <c r="G102" i="30"/>
  <c r="I104" i="30"/>
  <c r="A73" i="30"/>
  <c r="F71" i="30"/>
  <c r="A70" i="30"/>
  <c r="H47" i="30"/>
  <c r="H37" i="30"/>
  <c r="G47" i="29"/>
  <c r="G13" i="29"/>
  <c r="K4" i="29"/>
  <c r="G80" i="29"/>
  <c r="G81" i="29"/>
  <c r="G84" i="29"/>
  <c r="I86" i="29"/>
  <c r="I88" i="29" s="1"/>
  <c r="K93" i="29" s="1"/>
  <c r="I90" i="29"/>
  <c r="G98" i="29"/>
  <c r="I100" i="29" s="1"/>
  <c r="G102" i="29"/>
  <c r="I104" i="29" s="1"/>
  <c r="G10" i="29"/>
  <c r="I15" i="29"/>
  <c r="I17" i="29" s="1"/>
  <c r="I22" i="29" s="1"/>
  <c r="K26" i="29" s="1"/>
  <c r="K64" i="29" s="1"/>
  <c r="I19" i="29"/>
  <c r="G34" i="29"/>
  <c r="K39" i="29"/>
  <c r="I51" i="29" s="1"/>
  <c r="K53" i="29" s="1"/>
  <c r="G57" i="29" s="1"/>
  <c r="I45" i="29"/>
  <c r="I49" i="29"/>
  <c r="G61" i="29"/>
  <c r="K62" i="29"/>
  <c r="K58" i="29"/>
  <c r="A73" i="29"/>
  <c r="F71" i="29"/>
  <c r="A70" i="29"/>
  <c r="K65" i="29"/>
  <c r="H47" i="29"/>
  <c r="H37" i="29"/>
  <c r="K10" i="29"/>
  <c r="G47" i="33"/>
  <c r="G43" i="33"/>
  <c r="I45" i="33" s="1"/>
  <c r="G13" i="33"/>
  <c r="K4" i="33"/>
  <c r="G80" i="33"/>
  <c r="G81" i="33"/>
  <c r="G84" i="33"/>
  <c r="I86" i="33"/>
  <c r="I88" i="33" s="1"/>
  <c r="K93" i="33" s="1"/>
  <c r="I90" i="33"/>
  <c r="G98" i="33"/>
  <c r="I100" i="33" s="1"/>
  <c r="G102" i="33"/>
  <c r="I104" i="33" s="1"/>
  <c r="G10" i="33"/>
  <c r="I15" i="33"/>
  <c r="I17" i="33" s="1"/>
  <c r="I22" i="33" s="1"/>
  <c r="K26" i="33" s="1"/>
  <c r="I19" i="33"/>
  <c r="G34" i="33"/>
  <c r="K39" i="33"/>
  <c r="I51" i="33" s="1"/>
  <c r="I49" i="33"/>
  <c r="G61" i="33"/>
  <c r="K62" i="33"/>
  <c r="K58" i="33"/>
  <c r="A73" i="33"/>
  <c r="F71" i="33"/>
  <c r="A70" i="33"/>
  <c r="K65" i="33"/>
  <c r="H37" i="33"/>
  <c r="K10" i="33"/>
  <c r="G79" i="32"/>
  <c r="G80" i="32" s="1"/>
  <c r="I85" i="32" s="1"/>
  <c r="I87" i="32" s="1"/>
  <c r="K92" i="32" s="1"/>
  <c r="G83" i="32"/>
  <c r="I89" i="32" s="1"/>
  <c r="G97" i="32"/>
  <c r="I99" i="32"/>
  <c r="K105" i="32" s="1"/>
  <c r="I114" i="32" s="1"/>
  <c r="G101" i="32"/>
  <c r="I103" i="32"/>
  <c r="G10" i="32"/>
  <c r="I15" i="32" s="1"/>
  <c r="I17" i="32" s="1"/>
  <c r="I22" i="32" s="1"/>
  <c r="K26" i="32" s="1"/>
  <c r="I19" i="32"/>
  <c r="G32" i="32"/>
  <c r="G34" i="32" s="1"/>
  <c r="K39" i="32" s="1"/>
  <c r="I51" i="32" s="1"/>
  <c r="K53" i="32" s="1"/>
  <c r="G57" i="32" s="1"/>
  <c r="I45" i="32"/>
  <c r="I49" i="32"/>
  <c r="G61" i="32"/>
  <c r="K62" i="32"/>
  <c r="K58" i="32"/>
  <c r="A72" i="32"/>
  <c r="F70" i="32"/>
  <c r="A69" i="32"/>
  <c r="H47" i="32"/>
  <c r="H37" i="32"/>
  <c r="K10" i="32"/>
  <c r="I11" i="9"/>
  <c r="I12" i="9"/>
  <c r="I10" i="9" s="1"/>
  <c r="I9" i="9" s="1"/>
  <c r="H11" i="9"/>
  <c r="H10" i="9" s="1"/>
  <c r="H9" i="9" s="1"/>
  <c r="H12" i="9"/>
  <c r="G11" i="9"/>
  <c r="G12" i="9"/>
  <c r="G10" i="9" s="1"/>
  <c r="G9" i="9" s="1"/>
  <c r="F11" i="9"/>
  <c r="F12" i="9"/>
  <c r="F10" i="9"/>
  <c r="E11" i="9"/>
  <c r="E12" i="9"/>
  <c r="E10" i="9" s="1"/>
  <c r="E9" i="9" s="1"/>
  <c r="I13" i="9"/>
  <c r="H13" i="9"/>
  <c r="G13" i="9"/>
  <c r="F13" i="9"/>
  <c r="E13" i="9"/>
  <c r="F9" i="9"/>
  <c r="D13" i="9"/>
  <c r="D9" i="9" s="1"/>
  <c r="D10" i="9"/>
  <c r="K64" i="32" l="1"/>
  <c r="I112" i="32"/>
  <c r="I111" i="29"/>
  <c r="K66" i="29"/>
  <c r="I113" i="30"/>
  <c r="K64" i="30"/>
  <c r="I112" i="28"/>
  <c r="K53" i="34"/>
  <c r="G57" i="34" s="1"/>
  <c r="I112" i="25"/>
  <c r="K106" i="33"/>
  <c r="I115" i="33" s="1"/>
  <c r="I113" i="33"/>
  <c r="K53" i="33"/>
  <c r="G57" i="33" s="1"/>
  <c r="K106" i="29"/>
  <c r="I115" i="29" s="1"/>
  <c r="I113" i="29"/>
  <c r="K53" i="28"/>
  <c r="G57" i="28" s="1"/>
  <c r="K106" i="34"/>
  <c r="I115" i="34" s="1"/>
  <c r="I113" i="34"/>
  <c r="K64" i="34"/>
  <c r="I85" i="22"/>
  <c r="I87" i="22" s="1"/>
  <c r="I89" i="22"/>
  <c r="K64" i="25"/>
  <c r="G57" i="25"/>
  <c r="K64" i="27"/>
  <c r="K64" i="23"/>
  <c r="K105" i="26"/>
  <c r="I114" i="26" s="1"/>
  <c r="K105" i="27"/>
  <c r="I114" i="27" s="1"/>
  <c r="K53" i="24"/>
  <c r="G57" i="24" s="1"/>
  <c r="K105" i="23"/>
  <c r="I114" i="23" s="1"/>
  <c r="K65" i="32"/>
  <c r="K10" i="30"/>
  <c r="K65" i="30"/>
  <c r="G32" i="22"/>
  <c r="G34" i="22" s="1"/>
  <c r="K39" i="22" s="1"/>
  <c r="I51" i="22" s="1"/>
  <c r="K53" i="22" s="1"/>
  <c r="G57" i="22" s="1"/>
  <c r="K105" i="25"/>
  <c r="I114" i="25" s="1"/>
  <c r="I85" i="26"/>
  <c r="I87" i="26" s="1"/>
  <c r="K92" i="26" s="1"/>
  <c r="I15" i="26"/>
  <c r="I17" i="26" s="1"/>
  <c r="I22" i="26" s="1"/>
  <c r="K26" i="26" s="1"/>
  <c r="K10" i="26"/>
  <c r="K53" i="26"/>
  <c r="G57" i="26" s="1"/>
  <c r="I85" i="27"/>
  <c r="I87" i="27" s="1"/>
  <c r="K92" i="27" s="1"/>
  <c r="K53" i="31"/>
  <c r="G57" i="31" s="1"/>
  <c r="I22" i="24"/>
  <c r="K26" i="24" s="1"/>
  <c r="K64" i="24" s="1"/>
  <c r="K92" i="24"/>
  <c r="I85" i="23"/>
  <c r="I87" i="23" s="1"/>
  <c r="K92" i="23" s="1"/>
  <c r="K53" i="21"/>
  <c r="G57" i="21" s="1"/>
  <c r="I112" i="24" l="1"/>
  <c r="K64" i="26"/>
  <c r="K64" i="31"/>
  <c r="I110" i="27"/>
  <c r="K66" i="27"/>
  <c r="I110" i="25"/>
  <c r="K116" i="25" s="1"/>
  <c r="K66" i="25"/>
  <c r="K64" i="33"/>
  <c r="I112" i="23"/>
  <c r="K66" i="24"/>
  <c r="I110" i="24"/>
  <c r="K116" i="24" s="1"/>
  <c r="K120" i="24" s="1"/>
  <c r="I112" i="27"/>
  <c r="I112" i="26"/>
  <c r="K64" i="21"/>
  <c r="I110" i="23"/>
  <c r="K116" i="23" s="1"/>
  <c r="K120" i="23" s="1"/>
  <c r="K66" i="23"/>
  <c r="K64" i="22"/>
  <c r="K92" i="22"/>
  <c r="K66" i="34"/>
  <c r="K68" i="34" s="1"/>
  <c r="I111" i="34"/>
  <c r="K117" i="34" s="1"/>
  <c r="K121" i="34"/>
  <c r="K64" i="28"/>
  <c r="K120" i="25"/>
  <c r="K66" i="30"/>
  <c r="K68" i="30" s="1"/>
  <c r="I111" i="30"/>
  <c r="K117" i="30" s="1"/>
  <c r="K121" i="30" s="1"/>
  <c r="K117" i="29"/>
  <c r="K121" i="29" s="1"/>
  <c r="I110" i="32"/>
  <c r="K116" i="32" s="1"/>
  <c r="K120" i="32" s="1"/>
  <c r="K66" i="32"/>
  <c r="I110" i="28" l="1"/>
  <c r="K116" i="28" s="1"/>
  <c r="K120" i="28" s="1"/>
  <c r="K66" i="28"/>
  <c r="I112" i="22"/>
  <c r="K66" i="21"/>
  <c r="I110" i="21"/>
  <c r="K116" i="21" s="1"/>
  <c r="K120" i="21" s="1"/>
  <c r="K66" i="31"/>
  <c r="I110" i="31"/>
  <c r="K116" i="31" s="1"/>
  <c r="K120" i="31" s="1"/>
  <c r="K66" i="22"/>
  <c r="I110" i="22"/>
  <c r="K116" i="22" s="1"/>
  <c r="K120" i="22" s="1"/>
  <c r="I111" i="33"/>
  <c r="K117" i="33" s="1"/>
  <c r="K121" i="33" s="1"/>
  <c r="K66" i="33"/>
  <c r="K116" i="27"/>
  <c r="K120" i="27" s="1"/>
  <c r="K66" i="26"/>
  <c r="I110" i="26"/>
  <c r="K116" i="26" s="1"/>
  <c r="K120" i="26" s="1"/>
</calcChain>
</file>

<file path=xl/sharedStrings.xml><?xml version="1.0" encoding="utf-8"?>
<sst xmlns="http://schemas.openxmlformats.org/spreadsheetml/2006/main" count="1107" uniqueCount="121">
  <si>
    <t>Grand Haven Area Public Schools</t>
  </si>
  <si>
    <t>Section</t>
  </si>
  <si>
    <t>Foundation Grant</t>
  </si>
  <si>
    <t>Non-Homestead Taxable Valuation</t>
  </si>
  <si>
    <t>x 18 mills</t>
  </si>
  <si>
    <t>Divided by General Ed K-12</t>
  </si>
  <si>
    <t xml:space="preserve">   Blended Membership</t>
  </si>
  <si>
    <t>Non-Homestead Revenue Per Pupil</t>
  </si>
  <si>
    <t>Per Pupil Section 20 Allowance</t>
  </si>
  <si>
    <t>x General Ed K-12 Blended Membership</t>
  </si>
  <si>
    <t>Less Adjustment for Out-of-District</t>
  </si>
  <si>
    <t xml:space="preserve">   Students Educated in District</t>
  </si>
  <si>
    <t>Total Section 20 Allowance</t>
  </si>
  <si>
    <t>X</t>
  </si>
  <si>
    <t>51a.2</t>
  </si>
  <si>
    <t>Special Ed Foundation (Sec 52)</t>
  </si>
  <si>
    <t>Section 52 Blended Membership</t>
  </si>
  <si>
    <t>Section 51a.2 Allowance</t>
  </si>
  <si>
    <t>Total Section 51a.2 Allowance</t>
  </si>
  <si>
    <t>51a</t>
  </si>
  <si>
    <t>Special Education</t>
  </si>
  <si>
    <t>Special Ed Costs</t>
  </si>
  <si>
    <t>x 28.6138%</t>
  </si>
  <si>
    <t>SE Transportation Costs</t>
  </si>
  <si>
    <t>x 70.4165%</t>
  </si>
  <si>
    <t>Less Section 51a.2 Allowance</t>
  </si>
  <si>
    <t>Total Section 51a Allowance</t>
  </si>
  <si>
    <t>51a.3</t>
  </si>
  <si>
    <t>Special Ed Hold Harmless</t>
  </si>
  <si>
    <t>51a.13</t>
  </si>
  <si>
    <t>Special Ed Foundation (Non-Sec 52)</t>
  </si>
  <si>
    <t>Special Ed K-12 Sec 53 Membership</t>
  </si>
  <si>
    <t>Total Section 51a.13 Allowance</t>
  </si>
  <si>
    <t>Total State Aid Guarantee for GE and SE</t>
  </si>
  <si>
    <t>22a</t>
  </si>
  <si>
    <t>Prop A Obligation</t>
  </si>
  <si>
    <t>1994-95 Foundation Allowance</t>
  </si>
  <si>
    <t>Divided by Total K-12</t>
  </si>
  <si>
    <t>Per Pupil Section 22 Allowance</t>
  </si>
  <si>
    <t>x Total Ed K-12 Blended Membership</t>
  </si>
  <si>
    <t>Total Section 22a Appropriation</t>
  </si>
  <si>
    <t>51c</t>
  </si>
  <si>
    <t>Spec Ed Headlee Obligation</t>
  </si>
  <si>
    <t>Total Section 51c Appropriation</t>
  </si>
  <si>
    <t>22b</t>
  </si>
  <si>
    <t>Discretionary Payment</t>
  </si>
  <si>
    <t>Less Section 22a Appropriation</t>
  </si>
  <si>
    <t>Less Section 51c Appropriation</t>
  </si>
  <si>
    <t>Total Section 22b Appropriation</t>
  </si>
  <si>
    <t xml:space="preserve">Foundation Allowance </t>
  </si>
  <si>
    <t>Student FTE</t>
  </si>
  <si>
    <t xml:space="preserve">State Aid Membership </t>
  </si>
  <si>
    <t>Gen K-12</t>
  </si>
  <si>
    <t>Sepcial Ed</t>
  </si>
  <si>
    <t xml:space="preserve">    February 2003</t>
  </si>
  <si>
    <t>FY 2003-04</t>
  </si>
  <si>
    <t xml:space="preserve">    September 2003 est</t>
  </si>
  <si>
    <t>2003-04</t>
  </si>
  <si>
    <t>2004-05</t>
  </si>
  <si>
    <t>2005-06</t>
  </si>
  <si>
    <t>2006-07</t>
  </si>
  <si>
    <t>2007-08</t>
  </si>
  <si>
    <t>2008-09</t>
  </si>
  <si>
    <t>x 2005 Foundation Allowance</t>
  </si>
  <si>
    <t>96/97 Section 52/58</t>
  </si>
  <si>
    <t>Less 51a Allowance</t>
  </si>
  <si>
    <t>2006 Foundation Allowance</t>
  </si>
  <si>
    <t>Total foundation allowance revenue</t>
  </si>
  <si>
    <t>Budget</t>
  </si>
  <si>
    <t>Uncollectible</t>
  </si>
  <si>
    <t>04-05 actual</t>
  </si>
  <si>
    <t>Property taxes less delinquent</t>
  </si>
  <si>
    <t>Calculation of FINAL REVISION for 2005-06</t>
  </si>
  <si>
    <t>Adjusted for Actual Costs of 04-05</t>
  </si>
  <si>
    <t>Feb 06 status rep</t>
  </si>
  <si>
    <t>Calculation of PROPOSED REVISION for 2006-07</t>
  </si>
  <si>
    <t>Using Estimate final costs for 2006</t>
  </si>
  <si>
    <t>05-06 Estimated</t>
  </si>
  <si>
    <t>h:/2005-06 budget/Proposed - state aid</t>
  </si>
  <si>
    <t>Adjusted for Estimated Costs of 05-06</t>
  </si>
  <si>
    <t>RECEIVED FROM STATE</t>
  </si>
  <si>
    <t>ADJUSTMENT IN 06-07</t>
  </si>
  <si>
    <t>Adjusted for FINAL Costs of 05-06</t>
  </si>
  <si>
    <t>05-06 Final</t>
  </si>
  <si>
    <t>Calculation of FIRST REVISION for 2006-07</t>
  </si>
  <si>
    <t>Using final costs for 2006</t>
  </si>
  <si>
    <t>x 2006 Foundation Allowance</t>
  </si>
  <si>
    <t>Calculation of FINAL REVISION for 2006-07</t>
  </si>
  <si>
    <t>Jan 07 status rep</t>
  </si>
  <si>
    <t>Using est costs for 2006-07 to get p/y adj</t>
  </si>
  <si>
    <t>Calculation of PROPOSED for 2007-08</t>
  </si>
  <si>
    <t>Using est costs for 2006-07</t>
  </si>
  <si>
    <t>06-07 est final</t>
  </si>
  <si>
    <t>Received prior year</t>
  </si>
  <si>
    <t>Total prior year adjustment</t>
  </si>
  <si>
    <t>2007 Foundation Allowance</t>
  </si>
  <si>
    <t>Calculation of adj 2008 rev for 2007-08</t>
  </si>
  <si>
    <t>Using est costs for 2007-08</t>
  </si>
  <si>
    <t>2007-08 prop</t>
  </si>
  <si>
    <t>2008-09 adj for 2008</t>
  </si>
  <si>
    <t>Calculation of prop 2008-09</t>
  </si>
  <si>
    <t>h:/2007-08 budget/first rev - state aid</t>
  </si>
  <si>
    <t>Using final costs for 2006-07 to get p/y adj</t>
  </si>
  <si>
    <t>06-07 final</t>
  </si>
  <si>
    <t>Using final costs for 2006-07</t>
  </si>
  <si>
    <t>Calculation of FIRST REVISION for 2007-08</t>
  </si>
  <si>
    <t>Oct status report</t>
  </si>
  <si>
    <t>Nov 07 status rep</t>
  </si>
  <si>
    <t>07-08 est final</t>
  </si>
  <si>
    <t>Calculation of prop 2009-10</t>
  </si>
  <si>
    <t>Using est costs for 2008-09</t>
  </si>
  <si>
    <t>2008-09 est Foundation Allowance</t>
  </si>
  <si>
    <t>2009-10 est Foundation Allowance</t>
  </si>
  <si>
    <t>Using est final costs for 2007-08</t>
  </si>
  <si>
    <t>Calculation of 2007-08 adj for 2008-09</t>
  </si>
  <si>
    <t>07-08 est</t>
  </si>
  <si>
    <t>First revision 2007-08</t>
  </si>
  <si>
    <t>Difference</t>
  </si>
  <si>
    <t>08-09*1.05</t>
  </si>
  <si>
    <t>08-09*1.03</t>
  </si>
  <si>
    <t>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</si>
</sst>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/>
    </xf>
    <xf numFmtId="43" fontId="0" fillId="0" borderId="1" xfId="0" applyNumberForma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0" applyNumberFormat="1" applyFo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0" applyNumberFormat="1" applyAlignment="1">
      <alignment horizontal="centerContinuous"/>
    </xf>
    <xf numFmtId="4" fontId="0" fillId="0" borderId="0" xfId="0" applyNumberFormat="1"/>
    <xf numFmtId="9" fontId="0" fillId="0" borderId="0" xfId="0" applyNumberFormat="1"/>
    <xf numFmtId="0" fontId="0" fillId="0" borderId="1" xfId="0" applyBorder="1"/>
    <xf numFmtId="0" fontId="6" fillId="0" borderId="0" xfId="0" applyFont="1"/>
    <xf numFmtId="43" fontId="0" fillId="0" borderId="0" xfId="1" applyFont="1"/>
    <xf numFmtId="0" fontId="7" fillId="0" borderId="0" xfId="0" applyFont="1"/>
    <xf numFmtId="44" fontId="0" fillId="0" borderId="0" xfId="2" applyFont="1"/>
    <xf numFmtId="43" fontId="8" fillId="0" borderId="2" xfId="0" applyNumberFormat="1" applyFont="1" applyBorder="1"/>
    <xf numFmtId="0" fontId="8" fillId="0" borderId="0" xfId="0" applyFont="1"/>
    <xf numFmtId="43" fontId="2" fillId="0" borderId="0" xfId="0" applyNumberFormat="1" applyFont="1"/>
    <xf numFmtId="43" fontId="2" fillId="0" borderId="1" xfId="0" applyNumberFormat="1" applyFont="1" applyBorder="1"/>
    <xf numFmtId="167" fontId="2" fillId="0" borderId="1" xfId="0" applyNumberFormat="1" applyFont="1" applyBorder="1"/>
    <xf numFmtId="167" fontId="0" fillId="0" borderId="0" xfId="0" applyNumberFormat="1"/>
    <xf numFmtId="167" fontId="0" fillId="0" borderId="1" xfId="0" applyNumberFormat="1" applyBorder="1"/>
    <xf numFmtId="43" fontId="0" fillId="0" borderId="0" xfId="0" applyNumberFormat="1" applyBorder="1"/>
    <xf numFmtId="0" fontId="0" fillId="0" borderId="0" xfId="0" applyBorder="1"/>
    <xf numFmtId="43" fontId="0" fillId="0" borderId="0" xfId="1" applyFont="1" applyBorder="1"/>
    <xf numFmtId="0" fontId="0" fillId="0" borderId="1" xfId="0" applyBorder="1" applyAlignment="1">
      <alignment horizontal="center"/>
    </xf>
    <xf numFmtId="0" fontId="9" fillId="0" borderId="0" xfId="0" applyFont="1"/>
    <xf numFmtId="43" fontId="0" fillId="0" borderId="0" xfId="1" applyNumberFormat="1" applyFont="1"/>
    <xf numFmtId="43" fontId="0" fillId="0" borderId="0" xfId="0" applyNumberFormat="1" applyAlignment="1">
      <alignment horizontal="right"/>
    </xf>
    <xf numFmtId="167" fontId="0" fillId="0" borderId="0" xfId="1" applyNumberFormat="1" applyFont="1"/>
    <xf numFmtId="0" fontId="0" fillId="0" borderId="0" xfId="0" applyAlignment="1">
      <alignment horizontal="right"/>
    </xf>
    <xf numFmtId="43" fontId="10" fillId="0" borderId="0" xfId="0" applyNumberFormat="1" applyFont="1"/>
    <xf numFmtId="43" fontId="10" fillId="0" borderId="0" xfId="0" applyNumberFormat="1" applyFont="1" applyAlignment="1">
      <alignment horizontal="right"/>
    </xf>
    <xf numFmtId="0" fontId="10" fillId="0" borderId="0" xfId="0" applyFont="1"/>
    <xf numFmtId="43" fontId="10" fillId="0" borderId="0" xfId="1" applyNumberFormat="1" applyFont="1"/>
    <xf numFmtId="43" fontId="2" fillId="0" borderId="0" xfId="1" applyNumberFormat="1" applyFont="1"/>
    <xf numFmtId="43" fontId="11" fillId="0" borderId="0" xfId="0" applyNumberFormat="1" applyFont="1"/>
    <xf numFmtId="43" fontId="11" fillId="0" borderId="0" xfId="0" applyNumberFormat="1" applyFont="1" applyAlignment="1">
      <alignment horizontal="right"/>
    </xf>
    <xf numFmtId="43" fontId="0" fillId="0" borderId="0" xfId="0" quotePrefix="1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4" sqref="A4"/>
    </sheetView>
  </sheetViews>
  <sheetFormatPr defaultRowHeight="12.75" x14ac:dyDescent="0.2"/>
  <cols>
    <col min="4" max="4" width="11.42578125" customWidth="1"/>
    <col min="5" max="9" width="11.7109375" customWidth="1"/>
  </cols>
  <sheetData>
    <row r="1" spans="1:9" x14ac:dyDescent="0.2">
      <c r="A1" s="14" t="s">
        <v>55</v>
      </c>
    </row>
    <row r="3" spans="1:9" x14ac:dyDescent="0.2">
      <c r="A3" s="16"/>
    </row>
    <row r="4" spans="1:9" x14ac:dyDescent="0.2">
      <c r="A4" s="16"/>
    </row>
    <row r="5" spans="1:9" x14ac:dyDescent="0.2">
      <c r="D5" s="28" t="s">
        <v>57</v>
      </c>
      <c r="E5" s="28" t="s">
        <v>58</v>
      </c>
      <c r="F5" s="28" t="s">
        <v>59</v>
      </c>
      <c r="G5" s="28" t="s">
        <v>60</v>
      </c>
      <c r="H5" s="28" t="s">
        <v>61</v>
      </c>
      <c r="I5" s="28" t="s">
        <v>62</v>
      </c>
    </row>
    <row r="7" spans="1:9" x14ac:dyDescent="0.2">
      <c r="A7" t="s">
        <v>49</v>
      </c>
      <c r="D7" s="17">
        <v>7131</v>
      </c>
    </row>
    <row r="8" spans="1:9" x14ac:dyDescent="0.2">
      <c r="A8" s="13" t="s">
        <v>50</v>
      </c>
    </row>
    <row r="9" spans="1:9" x14ac:dyDescent="0.2">
      <c r="A9" t="s">
        <v>51</v>
      </c>
      <c r="D9" s="11">
        <f t="shared" ref="D9:I9" si="0">+D10+D13</f>
        <v>6053.7759999999998</v>
      </c>
      <c r="E9" s="11">
        <f t="shared" si="0"/>
        <v>6043.2000000000007</v>
      </c>
      <c r="F9" s="11">
        <f t="shared" si="0"/>
        <v>6073.2000000000007</v>
      </c>
      <c r="G9" s="11">
        <f t="shared" si="0"/>
        <v>6103.2000000000007</v>
      </c>
      <c r="H9" s="11">
        <f t="shared" si="0"/>
        <v>6133.2000000000007</v>
      </c>
      <c r="I9" s="11">
        <f t="shared" si="0"/>
        <v>6163.2000000000007</v>
      </c>
    </row>
    <row r="10" spans="1:9" x14ac:dyDescent="0.2">
      <c r="A10" t="s">
        <v>52</v>
      </c>
      <c r="D10" s="11">
        <f>+(C11*D11)+(C12*D12)</f>
        <v>5866.7640000000001</v>
      </c>
      <c r="E10" s="11">
        <f>+(C11*E11)+(C12*E12)</f>
        <v>5856.2000000000007</v>
      </c>
      <c r="F10" s="11">
        <f>+(C11*F11)+(C12*F12)</f>
        <v>5886.2000000000007</v>
      </c>
      <c r="G10" s="11">
        <f>+(C11*G11)+(C12*G12)</f>
        <v>5916.2000000000007</v>
      </c>
      <c r="H10" s="11">
        <f>+(C11*H11)+(C12*H12)</f>
        <v>5946.2000000000007</v>
      </c>
      <c r="I10" s="11">
        <f>+(C11*I11)+(C12*I12)</f>
        <v>5976.2000000000007</v>
      </c>
    </row>
    <row r="11" spans="1:9" x14ac:dyDescent="0.2">
      <c r="A11" t="s">
        <v>56</v>
      </c>
      <c r="C11" s="12">
        <v>0.8</v>
      </c>
      <c r="D11" s="11">
        <v>5886.67</v>
      </c>
      <c r="E11">
        <f>6063-187</f>
        <v>5876</v>
      </c>
      <c r="F11">
        <f>6093-187</f>
        <v>5906</v>
      </c>
      <c r="G11">
        <f>6123-187</f>
        <v>5936</v>
      </c>
      <c r="H11">
        <f>6153-187</f>
        <v>5966</v>
      </c>
      <c r="I11">
        <f>6183-187</f>
        <v>5996</v>
      </c>
    </row>
    <row r="12" spans="1:9" x14ac:dyDescent="0.2">
      <c r="A12" t="s">
        <v>54</v>
      </c>
      <c r="C12" s="12">
        <v>0.2</v>
      </c>
      <c r="D12" s="11">
        <v>5787.14</v>
      </c>
      <c r="E12">
        <f>5787-10</f>
        <v>5777</v>
      </c>
      <c r="F12">
        <f>5777+30</f>
        <v>5807</v>
      </c>
      <c r="G12">
        <f>5807+30</f>
        <v>5837</v>
      </c>
      <c r="H12">
        <f>5837+30</f>
        <v>5867</v>
      </c>
      <c r="I12">
        <f>5867+30</f>
        <v>5897</v>
      </c>
    </row>
    <row r="13" spans="1:9" x14ac:dyDescent="0.2">
      <c r="A13" t="s">
        <v>53</v>
      </c>
      <c r="D13">
        <f>+(C14*D14)+(C15*D15)</f>
        <v>187.01200000000003</v>
      </c>
      <c r="E13">
        <f>+(C14*E14)+(C15*E15)</f>
        <v>187</v>
      </c>
      <c r="F13">
        <f>+(C14*F14)+(C15*F15)</f>
        <v>187</v>
      </c>
      <c r="G13">
        <f>+(C14*G14)+(C15*G15)</f>
        <v>187</v>
      </c>
      <c r="H13">
        <f>+(C14*H14)+(C15*H15)</f>
        <v>187</v>
      </c>
      <c r="I13">
        <f>+(C14*I14)+(C15*I15)</f>
        <v>187</v>
      </c>
    </row>
    <row r="14" spans="1:9" x14ac:dyDescent="0.2">
      <c r="A14" t="s">
        <v>56</v>
      </c>
      <c r="C14" s="12">
        <v>0.8</v>
      </c>
      <c r="D14">
        <v>186.33</v>
      </c>
      <c r="E14">
        <v>187</v>
      </c>
      <c r="F14">
        <v>187</v>
      </c>
      <c r="G14">
        <v>187</v>
      </c>
      <c r="H14">
        <v>187</v>
      </c>
      <c r="I14">
        <v>187</v>
      </c>
    </row>
    <row r="15" spans="1:9" x14ac:dyDescent="0.2">
      <c r="A15" t="s">
        <v>54</v>
      </c>
      <c r="C15" s="12">
        <v>0.2</v>
      </c>
      <c r="D15">
        <v>189.74</v>
      </c>
      <c r="E15">
        <v>187</v>
      </c>
      <c r="F15">
        <v>187</v>
      </c>
      <c r="G15">
        <v>187</v>
      </c>
      <c r="H15">
        <v>187</v>
      </c>
      <c r="I15">
        <v>187</v>
      </c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100" workbookViewId="0">
      <selection activeCell="A68" sqref="A68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90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91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95</v>
      </c>
      <c r="I7" s="20">
        <v>7516</v>
      </c>
    </row>
    <row r="8" spans="1:11" x14ac:dyDescent="0.2">
      <c r="A8" s="2"/>
    </row>
    <row r="9" spans="1:11" x14ac:dyDescent="0.2">
      <c r="A9" s="2"/>
      <c r="C9" t="s">
        <v>3</v>
      </c>
      <c r="G9" s="22">
        <v>1058438726</v>
      </c>
    </row>
    <row r="10" spans="1:11" x14ac:dyDescent="0.2">
      <c r="A10" s="2"/>
      <c r="C10" t="s">
        <v>4</v>
      </c>
      <c r="G10" s="23">
        <f>+G9/1000*18</f>
        <v>19051897.068</v>
      </c>
      <c r="J10" s="33" t="s">
        <v>68</v>
      </c>
      <c r="K10" s="32">
        <f>+G10-K11</f>
        <v>18961937.068</v>
      </c>
    </row>
    <row r="11" spans="1:11" x14ac:dyDescent="0.2">
      <c r="A11" s="2"/>
      <c r="J11" s="33" t="s">
        <v>69</v>
      </c>
      <c r="K11" s="32">
        <v>89960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5796.67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3286.6968566435557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4229.3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5796.67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24515856.431000002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88</v>
      </c>
      <c r="I24" s="21">
        <v>-64889.3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24450967.131000001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193.96</v>
      </c>
      <c r="K30" s="1">
        <f>+G13+G30</f>
        <v>5990.63</v>
      </c>
    </row>
    <row r="31" spans="1:11" x14ac:dyDescent="0.2">
      <c r="A31" s="2"/>
    </row>
    <row r="32" spans="1:11" x14ac:dyDescent="0.2">
      <c r="A32" s="2"/>
      <c r="C32" t="s">
        <v>86</v>
      </c>
      <c r="G32" s="3">
        <f>+I7</f>
        <v>7516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1457803.36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6151.75</v>
      </c>
      <c r="H37" s="1" t="str">
        <f>+G24</f>
        <v>Jan 07 status rep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1463955.11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v>5970000</v>
      </c>
      <c r="H43" s="1" t="s">
        <v>92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1708243.86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420000</v>
      </c>
      <c r="H47" s="1" t="str">
        <f>+H43</f>
        <v>06-07 est final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295749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-1463955.11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540037.75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540037.75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7516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26454959.991</v>
      </c>
    </row>
    <row r="65" spans="1:11" ht="13.5" thickTop="1" x14ac:dyDescent="0.2">
      <c r="C65" t="s">
        <v>71</v>
      </c>
      <c r="K65" s="1">
        <f>+G10-K11</f>
        <v>18961937.068</v>
      </c>
    </row>
    <row r="66" spans="1:11" x14ac:dyDescent="0.2">
      <c r="A66" s="4" t="s">
        <v>67</v>
      </c>
      <c r="I66" s="31"/>
      <c r="K66" s="30">
        <f>SUM(K64:K65)</f>
        <v>45416897.059</v>
      </c>
    </row>
    <row r="67" spans="1:11" x14ac:dyDescent="0.2">
      <c r="I67" s="31"/>
      <c r="K67" s="1">
        <f>45416898-45506857</f>
        <v>-89959</v>
      </c>
    </row>
    <row r="68" spans="1:11" ht="18" x14ac:dyDescent="0.25">
      <c r="A68" s="8" t="s">
        <v>120</v>
      </c>
      <c r="B68" s="9"/>
      <c r="C68" s="9"/>
      <c r="D68" s="9"/>
      <c r="E68" s="9"/>
      <c r="F68" s="9"/>
      <c r="G68" s="10"/>
      <c r="H68" s="10"/>
      <c r="I68" s="10"/>
      <c r="J68" s="9"/>
      <c r="K68" s="9"/>
    </row>
    <row r="69" spans="1:11" ht="18" x14ac:dyDescent="0.25">
      <c r="A69" s="8" t="str">
        <f>+A2</f>
        <v>Calculation of PROPOSED for 2007-08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0" spans="1:11" x14ac:dyDescent="0.2">
      <c r="F70" t="str">
        <f>+F3</f>
        <v>Using est costs for 2006-07</v>
      </c>
    </row>
    <row r="72" spans="1:11" x14ac:dyDescent="0.2">
      <c r="A72" s="16">
        <f>+A3</f>
        <v>0</v>
      </c>
    </row>
    <row r="75" spans="1:11" x14ac:dyDescent="0.2">
      <c r="A75" s="4" t="s">
        <v>34</v>
      </c>
      <c r="B75" s="4" t="s">
        <v>35</v>
      </c>
    </row>
    <row r="77" spans="1:11" x14ac:dyDescent="0.2">
      <c r="C77" t="s">
        <v>36</v>
      </c>
      <c r="I77" s="1">
        <v>5630.02</v>
      </c>
    </row>
    <row r="79" spans="1:11" x14ac:dyDescent="0.2">
      <c r="C79" t="s">
        <v>3</v>
      </c>
      <c r="G79" s="24">
        <f>+G9</f>
        <v>1058438726</v>
      </c>
    </row>
    <row r="80" spans="1:11" x14ac:dyDescent="0.2">
      <c r="C80" t="s">
        <v>4</v>
      </c>
      <c r="G80" s="1">
        <f>+G79/1000*18</f>
        <v>19051897.068</v>
      </c>
    </row>
    <row r="82" spans="1:11" x14ac:dyDescent="0.2">
      <c r="C82" t="s">
        <v>37</v>
      </c>
    </row>
    <row r="83" spans="1:11" x14ac:dyDescent="0.2">
      <c r="C83" t="s">
        <v>6</v>
      </c>
      <c r="G83" s="3">
        <f>+G13+G30</f>
        <v>5990.63</v>
      </c>
    </row>
    <row r="85" spans="1:11" x14ac:dyDescent="0.2">
      <c r="C85" t="s">
        <v>7</v>
      </c>
      <c r="I85" s="3">
        <f>+G80/G83</f>
        <v>3180.2827195136406</v>
      </c>
    </row>
    <row r="87" spans="1:11" x14ac:dyDescent="0.2">
      <c r="C87" t="s">
        <v>38</v>
      </c>
      <c r="I87" s="1">
        <f>ROUND(+I77-I85,2)</f>
        <v>2449.7399999999998</v>
      </c>
    </row>
    <row r="89" spans="1:11" x14ac:dyDescent="0.2">
      <c r="C89" t="s">
        <v>39</v>
      </c>
      <c r="I89" s="3">
        <f>+G83</f>
        <v>5990.63</v>
      </c>
    </row>
    <row r="92" spans="1:11" x14ac:dyDescent="0.2">
      <c r="B92" s="4" t="s">
        <v>40</v>
      </c>
      <c r="K92" s="1">
        <f>+I87*I89</f>
        <v>14675485.936199998</v>
      </c>
    </row>
    <row r="95" spans="1:11" x14ac:dyDescent="0.2">
      <c r="A95" s="4" t="s">
        <v>41</v>
      </c>
      <c r="B95" s="4" t="s">
        <v>42</v>
      </c>
    </row>
    <row r="97" spans="1:11" x14ac:dyDescent="0.2">
      <c r="C97" t="s">
        <v>21</v>
      </c>
      <c r="G97" s="1">
        <f>+G43</f>
        <v>5970000</v>
      </c>
    </row>
    <row r="99" spans="1:11" x14ac:dyDescent="0.2">
      <c r="C99" t="s">
        <v>22</v>
      </c>
      <c r="I99" s="1">
        <f>ROUND(+G97*0.286138,2)</f>
        <v>1708243.86</v>
      </c>
    </row>
    <row r="101" spans="1:11" x14ac:dyDescent="0.2">
      <c r="C101" t="s">
        <v>23</v>
      </c>
      <c r="G101" s="1">
        <f>+G47</f>
        <v>420000</v>
      </c>
    </row>
    <row r="103" spans="1:11" x14ac:dyDescent="0.2">
      <c r="C103" t="s">
        <v>24</v>
      </c>
      <c r="I103" s="3">
        <f>ROUND(+G101*0.704165,0)</f>
        <v>295749</v>
      </c>
    </row>
    <row r="105" spans="1:11" x14ac:dyDescent="0.2">
      <c r="B105" s="4" t="s">
        <v>43</v>
      </c>
      <c r="K105" s="1">
        <f>+I99+I103</f>
        <v>2003992.86</v>
      </c>
    </row>
    <row r="106" spans="1:11" x14ac:dyDescent="0.2">
      <c r="K106" s="15"/>
    </row>
    <row r="107" spans="1:11" x14ac:dyDescent="0.2">
      <c r="K107" s="1"/>
    </row>
    <row r="108" spans="1:11" x14ac:dyDescent="0.2">
      <c r="A108" s="4" t="s">
        <v>44</v>
      </c>
      <c r="B108" s="4" t="s">
        <v>45</v>
      </c>
    </row>
    <row r="110" spans="1:11" x14ac:dyDescent="0.2">
      <c r="C110" t="s">
        <v>33</v>
      </c>
      <c r="I110" s="1">
        <f>+K64</f>
        <v>26454959.991</v>
      </c>
    </row>
    <row r="112" spans="1:11" x14ac:dyDescent="0.2">
      <c r="C112" t="s">
        <v>46</v>
      </c>
      <c r="I112" s="1">
        <f>-K92</f>
        <v>-14675485.936199998</v>
      </c>
    </row>
    <row r="114" spans="1:11" x14ac:dyDescent="0.2">
      <c r="C114" t="s">
        <v>47</v>
      </c>
      <c r="I114" s="3">
        <f>-K105</f>
        <v>-2003992.86</v>
      </c>
    </row>
    <row r="115" spans="1:11" x14ac:dyDescent="0.2">
      <c r="K115" s="15"/>
    </row>
    <row r="116" spans="1:11" x14ac:dyDescent="0.2">
      <c r="B116" s="4" t="s">
        <v>48</v>
      </c>
      <c r="K116" s="3">
        <f>+I110+I112+I114</f>
        <v>9775481.1948000025</v>
      </c>
    </row>
    <row r="120" spans="1:11" s="6" customFormat="1" ht="16.5" thickBot="1" x14ac:dyDescent="0.3">
      <c r="A120" s="5" t="s">
        <v>33</v>
      </c>
      <c r="G120" s="7"/>
      <c r="H120" s="7"/>
      <c r="I120" s="7"/>
      <c r="K120" s="18">
        <f>SUM(K92:K116)</f>
        <v>26454959.991</v>
      </c>
    </row>
    <row r="121" spans="1:11" ht="13.5" thickTop="1" x14ac:dyDescent="0.2"/>
    <row r="122" spans="1:11" x14ac:dyDescent="0.2">
      <c r="K122" s="15"/>
    </row>
    <row r="123" spans="1:11" x14ac:dyDescent="0.2">
      <c r="I123" s="25"/>
      <c r="J123" s="26"/>
      <c r="K123" s="27"/>
    </row>
    <row r="124" spans="1:11" x14ac:dyDescent="0.2">
      <c r="K124" s="15"/>
    </row>
  </sheetData>
  <phoneticPr fontId="0" type="noConversion"/>
  <pageMargins left="0.5" right="0.5" top="0.5" bottom="0.5" header="0.5" footer="0.5"/>
  <pageSetup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opLeftCell="A97" workbookViewId="0">
      <selection activeCell="A69" sqref="A69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96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97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95</v>
      </c>
      <c r="I7" s="20">
        <v>7516</v>
      </c>
    </row>
    <row r="8" spans="1:11" x14ac:dyDescent="0.2">
      <c r="A8" s="2"/>
    </row>
    <row r="9" spans="1:11" x14ac:dyDescent="0.2">
      <c r="A9" s="2"/>
      <c r="C9" t="s">
        <v>3</v>
      </c>
      <c r="G9" s="22">
        <v>1040429500</v>
      </c>
    </row>
    <row r="10" spans="1:11" x14ac:dyDescent="0.2">
      <c r="A10" s="2"/>
      <c r="C10" t="s">
        <v>4</v>
      </c>
      <c r="G10" s="23">
        <f>+G9/1000*18</f>
        <v>18727731</v>
      </c>
      <c r="J10" s="33" t="s">
        <v>68</v>
      </c>
      <c r="K10" s="32">
        <f>+G10-K11</f>
        <v>18637730</v>
      </c>
    </row>
    <row r="11" spans="1:11" x14ac:dyDescent="0.2">
      <c r="A11" s="2"/>
      <c r="J11" s="33" t="s">
        <v>69</v>
      </c>
      <c r="K11" s="32">
        <v>90001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5796.67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3230.7740478585119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4285.2299999999996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5796.67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24840064.184099998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88</v>
      </c>
      <c r="I24" s="21">
        <v>-64889.3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24775174.884099998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193.96</v>
      </c>
    </row>
    <row r="31" spans="1:11" x14ac:dyDescent="0.2">
      <c r="A31" s="2"/>
    </row>
    <row r="32" spans="1:11" x14ac:dyDescent="0.2">
      <c r="A32" s="2"/>
      <c r="C32" t="s">
        <v>86</v>
      </c>
      <c r="G32" s="3">
        <f>+I7</f>
        <v>7516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1457803.36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6151.75</v>
      </c>
      <c r="H37" s="1" t="str">
        <f>+G24</f>
        <v>Jan 07 status rep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1463955.11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v>6270000</v>
      </c>
      <c r="H43" s="1" t="s">
        <v>92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1794085.26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430000</v>
      </c>
      <c r="H47" s="1" t="str">
        <f>+H43</f>
        <v>06-07 est final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302791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-1463955.11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632921.14999999991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632921.14999999991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7516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26872051.144099995</v>
      </c>
    </row>
    <row r="65" spans="1:11" ht="13.5" thickTop="1" x14ac:dyDescent="0.2">
      <c r="C65" t="s">
        <v>71</v>
      </c>
      <c r="K65" s="1">
        <f>+G10-K11</f>
        <v>18637730</v>
      </c>
    </row>
    <row r="66" spans="1:11" x14ac:dyDescent="0.2">
      <c r="A66" s="4" t="s">
        <v>67</v>
      </c>
      <c r="I66" s="31"/>
      <c r="K66" s="30">
        <f>SUM(K64:K65)</f>
        <v>45509781.144099995</v>
      </c>
    </row>
    <row r="67" spans="1:11" x14ac:dyDescent="0.2">
      <c r="I67" s="31" t="s">
        <v>98</v>
      </c>
      <c r="K67" s="30">
        <v>45416897</v>
      </c>
    </row>
    <row r="68" spans="1:11" x14ac:dyDescent="0.2">
      <c r="I68" s="31" t="s">
        <v>99</v>
      </c>
      <c r="K68" s="1">
        <f>+K66-K67</f>
        <v>92884.144099995494</v>
      </c>
    </row>
    <row r="69" spans="1:11" ht="18" x14ac:dyDescent="0.25">
      <c r="A69" s="8" t="s">
        <v>120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0" spans="1:11" ht="18" x14ac:dyDescent="0.25">
      <c r="A70" s="8" t="str">
        <f>+A2</f>
        <v>Calculation of adj 2008 rev for 2007-08</v>
      </c>
      <c r="B70" s="9"/>
      <c r="C70" s="9"/>
      <c r="D70" s="9"/>
      <c r="E70" s="9"/>
      <c r="F70" s="9"/>
      <c r="G70" s="10"/>
      <c r="H70" s="10"/>
      <c r="I70" s="10"/>
      <c r="J70" s="9"/>
      <c r="K70" s="9"/>
    </row>
    <row r="71" spans="1:11" x14ac:dyDescent="0.2">
      <c r="F71" t="str">
        <f>+F3</f>
        <v>Using est costs for 2007-08</v>
      </c>
    </row>
    <row r="73" spans="1:11" x14ac:dyDescent="0.2">
      <c r="A73" s="16">
        <f>+A3</f>
        <v>0</v>
      </c>
    </row>
    <row r="76" spans="1:11" x14ac:dyDescent="0.2">
      <c r="A76" s="4" t="s">
        <v>34</v>
      </c>
      <c r="B76" s="4" t="s">
        <v>35</v>
      </c>
    </row>
    <row r="78" spans="1:11" x14ac:dyDescent="0.2">
      <c r="C78" t="s">
        <v>36</v>
      </c>
      <c r="I78" s="1">
        <v>5630.02</v>
      </c>
    </row>
    <row r="80" spans="1:11" x14ac:dyDescent="0.2">
      <c r="C80" t="s">
        <v>3</v>
      </c>
      <c r="G80" s="24">
        <f>+G9</f>
        <v>1040429500</v>
      </c>
    </row>
    <row r="81" spans="1:11" x14ac:dyDescent="0.2">
      <c r="C81" t="s">
        <v>4</v>
      </c>
      <c r="G81" s="1">
        <f>+G80/1000*18</f>
        <v>18727731</v>
      </c>
    </row>
    <row r="83" spans="1:11" x14ac:dyDescent="0.2">
      <c r="C83" t="s">
        <v>37</v>
      </c>
    </row>
    <row r="84" spans="1:11" x14ac:dyDescent="0.2">
      <c r="C84" t="s">
        <v>6</v>
      </c>
      <c r="G84" s="3">
        <f>+G13+G30</f>
        <v>5990.63</v>
      </c>
    </row>
    <row r="86" spans="1:11" x14ac:dyDescent="0.2">
      <c r="C86" t="s">
        <v>7</v>
      </c>
      <c r="I86" s="3">
        <f>+G81/G84</f>
        <v>3126.1705363208875</v>
      </c>
    </row>
    <row r="88" spans="1:11" x14ac:dyDescent="0.2">
      <c r="C88" t="s">
        <v>38</v>
      </c>
      <c r="I88" s="1">
        <f>ROUND(+I78-I86,2)</f>
        <v>2503.85</v>
      </c>
    </row>
    <row r="90" spans="1:11" x14ac:dyDescent="0.2">
      <c r="C90" t="s">
        <v>39</v>
      </c>
      <c r="I90" s="3">
        <f>+G84</f>
        <v>5990.63</v>
      </c>
    </row>
    <row r="93" spans="1:11" x14ac:dyDescent="0.2">
      <c r="B93" s="4" t="s">
        <v>40</v>
      </c>
      <c r="K93" s="1">
        <f>+I88*I90</f>
        <v>14999638.9255</v>
      </c>
    </row>
    <row r="96" spans="1:11" x14ac:dyDescent="0.2">
      <c r="A96" s="4" t="s">
        <v>41</v>
      </c>
      <c r="B96" s="4" t="s">
        <v>42</v>
      </c>
    </row>
    <row r="98" spans="1:11" x14ac:dyDescent="0.2">
      <c r="C98" t="s">
        <v>21</v>
      </c>
      <c r="G98" s="1">
        <f>+G43</f>
        <v>6270000</v>
      </c>
    </row>
    <row r="100" spans="1:11" x14ac:dyDescent="0.2">
      <c r="C100" t="s">
        <v>22</v>
      </c>
      <c r="I100" s="1">
        <f>ROUND(+G98*0.286138,2)</f>
        <v>1794085.26</v>
      </c>
    </row>
    <row r="102" spans="1:11" x14ac:dyDescent="0.2">
      <c r="C102" t="s">
        <v>23</v>
      </c>
      <c r="G102" s="1">
        <f>+G47</f>
        <v>430000</v>
      </c>
    </row>
    <row r="104" spans="1:11" x14ac:dyDescent="0.2">
      <c r="C104" t="s">
        <v>24</v>
      </c>
      <c r="I104" s="3">
        <f>ROUND(+G102*0.704165,0)</f>
        <v>302791</v>
      </c>
    </row>
    <row r="106" spans="1:11" x14ac:dyDescent="0.2">
      <c r="B106" s="4" t="s">
        <v>43</v>
      </c>
      <c r="K106" s="1">
        <f>+I100+I104</f>
        <v>2096876.26</v>
      </c>
    </row>
    <row r="107" spans="1:11" x14ac:dyDescent="0.2">
      <c r="K107" s="15"/>
    </row>
    <row r="108" spans="1:11" x14ac:dyDescent="0.2">
      <c r="K108" s="1"/>
    </row>
    <row r="109" spans="1:11" x14ac:dyDescent="0.2">
      <c r="A109" s="4" t="s">
        <v>44</v>
      </c>
      <c r="B109" s="4" t="s">
        <v>45</v>
      </c>
    </row>
    <row r="111" spans="1:11" x14ac:dyDescent="0.2">
      <c r="C111" t="s">
        <v>33</v>
      </c>
      <c r="I111" s="1">
        <f>+K64</f>
        <v>26872051.144099995</v>
      </c>
    </row>
    <row r="113" spans="1:11" x14ac:dyDescent="0.2">
      <c r="C113" t="s">
        <v>46</v>
      </c>
      <c r="I113" s="1">
        <f>-K93</f>
        <v>-14999638.9255</v>
      </c>
    </row>
    <row r="115" spans="1:11" x14ac:dyDescent="0.2">
      <c r="C115" t="s">
        <v>47</v>
      </c>
      <c r="I115" s="3">
        <f>-K106</f>
        <v>-2096876.26</v>
      </c>
    </row>
    <row r="116" spans="1:11" x14ac:dyDescent="0.2">
      <c r="K116" s="15"/>
    </row>
    <row r="117" spans="1:11" x14ac:dyDescent="0.2">
      <c r="B117" s="4" t="s">
        <v>48</v>
      </c>
      <c r="K117" s="3">
        <f>+I111+I113+I115</f>
        <v>9775535.9585999958</v>
      </c>
    </row>
    <row r="121" spans="1:11" s="6" customFormat="1" ht="16.5" thickBot="1" x14ac:dyDescent="0.3">
      <c r="A121" s="5" t="s">
        <v>33</v>
      </c>
      <c r="G121" s="7"/>
      <c r="H121" s="7"/>
      <c r="I121" s="7"/>
      <c r="K121" s="18">
        <f>SUM(K93:K117)</f>
        <v>26872051.144099995</v>
      </c>
    </row>
    <row r="122" spans="1:11" ht="13.5" thickTop="1" x14ac:dyDescent="0.2"/>
    <row r="123" spans="1:11" x14ac:dyDescent="0.2">
      <c r="K123" s="15"/>
    </row>
    <row r="124" spans="1:11" x14ac:dyDescent="0.2">
      <c r="I124" s="25"/>
      <c r="J124" s="26"/>
      <c r="K124" s="27"/>
    </row>
    <row r="125" spans="1:11" x14ac:dyDescent="0.2">
      <c r="K125" s="15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97" workbookViewId="0">
      <selection activeCell="A69" sqref="A69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105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104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95</v>
      </c>
      <c r="I7" s="20">
        <v>7603</v>
      </c>
    </row>
    <row r="8" spans="1:11" x14ac:dyDescent="0.2">
      <c r="A8" s="2"/>
    </row>
    <row r="9" spans="1:11" x14ac:dyDescent="0.2">
      <c r="A9" s="2"/>
      <c r="C9" t="s">
        <v>3</v>
      </c>
      <c r="G9" s="22">
        <v>1058438726</v>
      </c>
    </row>
    <row r="10" spans="1:11" x14ac:dyDescent="0.2">
      <c r="A10" s="2"/>
      <c r="C10" t="s">
        <v>4</v>
      </c>
      <c r="G10" s="23">
        <f>+G9/1000*18</f>
        <v>19051897.068</v>
      </c>
      <c r="J10" s="33" t="s">
        <v>68</v>
      </c>
      <c r="K10" s="32">
        <f>+G10-K11</f>
        <v>18672950.068</v>
      </c>
    </row>
    <row r="11" spans="1:11" x14ac:dyDescent="0.2">
      <c r="A11" s="2"/>
      <c r="J11" s="33" t="s">
        <v>69</v>
      </c>
      <c r="K11" s="32">
        <v>378947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5817.78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3274.7709724327838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4328.2299999999996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5817.78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25180689.929399997</v>
      </c>
      <c r="K22" s="1"/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106</v>
      </c>
      <c r="I24" s="21">
        <v>-67402.28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25113287.649399996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182.57</v>
      </c>
    </row>
    <row r="31" spans="1:11" x14ac:dyDescent="0.2">
      <c r="A31" s="2"/>
    </row>
    <row r="32" spans="1:11" x14ac:dyDescent="0.2">
      <c r="A32" s="2"/>
      <c r="C32" t="s">
        <v>86</v>
      </c>
      <c r="G32" s="3">
        <f>+I7</f>
        <v>7603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1388079.71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-6389.25</v>
      </c>
      <c r="H37" s="1" t="str">
        <f>+G24</f>
        <v>Oct status report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1381690.46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v>5910802</v>
      </c>
      <c r="H43" s="1" t="s">
        <v>103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1691305.06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513038</v>
      </c>
      <c r="H47" s="1" t="str">
        <f>+H43</f>
        <v>06-07 final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361263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-1381690.46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670877.60000000009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670877.60000000009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7603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39">
        <v>26587339.23</v>
      </c>
      <c r="J64" s="19" t="s">
        <v>13</v>
      </c>
      <c r="K64" s="18">
        <f>+K26+K39+K53+K55+K62+K54+K58</f>
        <v>27165855.709399998</v>
      </c>
    </row>
    <row r="65" spans="1:11" ht="13.5" thickTop="1" x14ac:dyDescent="0.2">
      <c r="C65" t="s">
        <v>71</v>
      </c>
      <c r="I65" s="39"/>
      <c r="K65" s="1">
        <f>+G10-K11</f>
        <v>18672950.068</v>
      </c>
    </row>
    <row r="66" spans="1:11" x14ac:dyDescent="0.2">
      <c r="A66" s="4" t="s">
        <v>67</v>
      </c>
      <c r="I66" s="40"/>
      <c r="K66" s="30">
        <f>SUM(K64:K65)</f>
        <v>45838805.777400002</v>
      </c>
    </row>
    <row r="67" spans="1:11" x14ac:dyDescent="0.2">
      <c r="I67" s="40"/>
      <c r="K67" s="1"/>
    </row>
    <row r="68" spans="1:11" ht="18" x14ac:dyDescent="0.25">
      <c r="A68" s="8" t="s">
        <v>120</v>
      </c>
      <c r="B68" s="9"/>
      <c r="C68" s="9"/>
      <c r="D68" s="9"/>
      <c r="E68" s="9"/>
      <c r="F68" s="9"/>
      <c r="G68" s="10"/>
      <c r="H68" s="10"/>
      <c r="I68" s="10"/>
      <c r="J68" s="9"/>
      <c r="K68" s="9"/>
    </row>
    <row r="69" spans="1:11" ht="18" x14ac:dyDescent="0.25">
      <c r="A69" s="8" t="str">
        <f>+A2</f>
        <v>Calculation of FIRST REVISION for 2007-08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0" spans="1:11" x14ac:dyDescent="0.2">
      <c r="F70" t="str">
        <f>+F3</f>
        <v>Using final costs for 2006-07</v>
      </c>
    </row>
    <row r="72" spans="1:11" x14ac:dyDescent="0.2">
      <c r="A72" s="16">
        <f>+A3</f>
        <v>0</v>
      </c>
    </row>
    <row r="75" spans="1:11" x14ac:dyDescent="0.2">
      <c r="A75" s="4" t="s">
        <v>34</v>
      </c>
      <c r="B75" s="4" t="s">
        <v>35</v>
      </c>
    </row>
    <row r="77" spans="1:11" x14ac:dyDescent="0.2">
      <c r="C77" t="s">
        <v>36</v>
      </c>
      <c r="I77" s="1">
        <v>5630.02</v>
      </c>
    </row>
    <row r="79" spans="1:11" x14ac:dyDescent="0.2">
      <c r="C79" t="s">
        <v>3</v>
      </c>
      <c r="G79" s="24">
        <f>+G9</f>
        <v>1058438726</v>
      </c>
    </row>
    <row r="80" spans="1:11" x14ac:dyDescent="0.2">
      <c r="C80" t="s">
        <v>4</v>
      </c>
      <c r="G80" s="1">
        <f>+G79/1000*18</f>
        <v>19051897.068</v>
      </c>
    </row>
    <row r="82" spans="1:11" x14ac:dyDescent="0.2">
      <c r="C82" t="s">
        <v>37</v>
      </c>
    </row>
    <row r="83" spans="1:11" x14ac:dyDescent="0.2">
      <c r="C83" t="s">
        <v>6</v>
      </c>
      <c r="G83" s="3">
        <f>+G13+G30</f>
        <v>6000.3499999999995</v>
      </c>
    </row>
    <row r="85" spans="1:11" x14ac:dyDescent="0.2">
      <c r="C85" t="s">
        <v>7</v>
      </c>
      <c r="I85" s="3">
        <f>+G80/G83</f>
        <v>3175.1309620272154</v>
      </c>
    </row>
    <row r="87" spans="1:11" x14ac:dyDescent="0.2">
      <c r="C87" t="s">
        <v>38</v>
      </c>
      <c r="I87" s="1">
        <f>ROUND(+I77-I85,2)</f>
        <v>2454.89</v>
      </c>
    </row>
    <row r="89" spans="1:11" x14ac:dyDescent="0.2">
      <c r="C89" t="s">
        <v>39</v>
      </c>
      <c r="I89" s="3">
        <f>+G83</f>
        <v>6000.3499999999995</v>
      </c>
    </row>
    <row r="92" spans="1:11" x14ac:dyDescent="0.2">
      <c r="B92" s="4" t="s">
        <v>40</v>
      </c>
      <c r="K92" s="1">
        <f>+I87*I89</f>
        <v>14730199.211499998</v>
      </c>
    </row>
    <row r="95" spans="1:11" x14ac:dyDescent="0.2">
      <c r="A95" s="4" t="s">
        <v>41</v>
      </c>
      <c r="B95" s="4" t="s">
        <v>42</v>
      </c>
    </row>
    <row r="97" spans="1:11" x14ac:dyDescent="0.2">
      <c r="C97" t="s">
        <v>21</v>
      </c>
      <c r="G97" s="1">
        <f>+G43</f>
        <v>5910802</v>
      </c>
    </row>
    <row r="99" spans="1:11" x14ac:dyDescent="0.2">
      <c r="C99" t="s">
        <v>22</v>
      </c>
      <c r="I99" s="1">
        <f>ROUND(+G97*0.286138,2)</f>
        <v>1691305.06</v>
      </c>
    </row>
    <row r="101" spans="1:11" x14ac:dyDescent="0.2">
      <c r="C101" t="s">
        <v>23</v>
      </c>
      <c r="G101" s="1">
        <f>+G47</f>
        <v>513038</v>
      </c>
    </row>
    <row r="103" spans="1:11" x14ac:dyDescent="0.2">
      <c r="C103" t="s">
        <v>24</v>
      </c>
      <c r="I103" s="3">
        <f>ROUND(+G101*0.704165,0)</f>
        <v>361263</v>
      </c>
    </row>
    <row r="105" spans="1:11" x14ac:dyDescent="0.2">
      <c r="B105" s="4" t="s">
        <v>43</v>
      </c>
      <c r="K105" s="1">
        <f>+I99+I103</f>
        <v>2052568.06</v>
      </c>
    </row>
    <row r="106" spans="1:11" x14ac:dyDescent="0.2">
      <c r="K106" s="15"/>
    </row>
    <row r="107" spans="1:11" x14ac:dyDescent="0.2">
      <c r="K107" s="1"/>
    </row>
    <row r="108" spans="1:11" x14ac:dyDescent="0.2">
      <c r="A108" s="4" t="s">
        <v>44</v>
      </c>
      <c r="B108" s="4" t="s">
        <v>45</v>
      </c>
    </row>
    <row r="110" spans="1:11" x14ac:dyDescent="0.2">
      <c r="C110" t="s">
        <v>33</v>
      </c>
      <c r="I110" s="1">
        <f>+K64</f>
        <v>27165855.709399998</v>
      </c>
    </row>
    <row r="112" spans="1:11" x14ac:dyDescent="0.2">
      <c r="C112" t="s">
        <v>46</v>
      </c>
      <c r="I112" s="1">
        <f>-K92</f>
        <v>-14730199.211499998</v>
      </c>
    </row>
    <row r="114" spans="1:11" x14ac:dyDescent="0.2">
      <c r="C114" t="s">
        <v>47</v>
      </c>
      <c r="I114" s="3">
        <f>-K105</f>
        <v>-2052568.06</v>
      </c>
    </row>
    <row r="115" spans="1:11" x14ac:dyDescent="0.2">
      <c r="K115" s="15"/>
    </row>
    <row r="116" spans="1:11" x14ac:dyDescent="0.2">
      <c r="B116" s="4" t="s">
        <v>48</v>
      </c>
      <c r="K116" s="3">
        <f>+I110+I112+I114</f>
        <v>10383088.437899999</v>
      </c>
    </row>
    <row r="120" spans="1:11" s="6" customFormat="1" ht="16.5" thickBot="1" x14ac:dyDescent="0.3">
      <c r="A120" s="5" t="s">
        <v>33</v>
      </c>
      <c r="G120" s="7"/>
      <c r="H120" s="7"/>
      <c r="I120" s="7"/>
      <c r="K120" s="18">
        <f>SUM(K92:K116)</f>
        <v>27165855.709399998</v>
      </c>
    </row>
    <row r="121" spans="1:11" ht="13.5" thickTop="1" x14ac:dyDescent="0.2"/>
    <row r="122" spans="1:11" x14ac:dyDescent="0.2">
      <c r="K122" s="15"/>
    </row>
    <row r="123" spans="1:11" x14ac:dyDescent="0.2">
      <c r="I123" s="25"/>
      <c r="J123" s="26"/>
      <c r="K123" s="27"/>
    </row>
    <row r="124" spans="1:11" x14ac:dyDescent="0.2">
      <c r="K124" s="15"/>
    </row>
  </sheetData>
  <phoneticPr fontId="0" type="noConversion"/>
  <pageMargins left="0.75" right="0.25" top="0.5" bottom="0.5" header="0.5" footer="0.5"/>
  <pageSetup scale="47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workbookViewId="0"/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114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113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95</v>
      </c>
      <c r="I7" s="20">
        <v>7603</v>
      </c>
    </row>
    <row r="8" spans="1:11" x14ac:dyDescent="0.2">
      <c r="A8" s="2"/>
    </row>
    <row r="9" spans="1:11" x14ac:dyDescent="0.2">
      <c r="A9" s="2"/>
      <c r="C9" t="s">
        <v>3</v>
      </c>
      <c r="G9" s="22">
        <v>1058438726</v>
      </c>
    </row>
    <row r="10" spans="1:11" x14ac:dyDescent="0.2">
      <c r="A10" s="2"/>
      <c r="C10" t="s">
        <v>4</v>
      </c>
      <c r="G10" s="23">
        <f>+G9/1000*18</f>
        <v>19051897.068</v>
      </c>
      <c r="J10" s="33" t="s">
        <v>68</v>
      </c>
      <c r="K10" s="32">
        <f>+G10-K11</f>
        <v>18672950.068</v>
      </c>
    </row>
    <row r="11" spans="1:11" x14ac:dyDescent="0.2">
      <c r="A11" s="2"/>
      <c r="J11" s="33" t="s">
        <v>69</v>
      </c>
      <c r="K11" s="32">
        <v>378947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5817.78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3274.7709724327838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4328.2299999999996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5817.78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25180689.929399997</v>
      </c>
      <c r="K22" s="1"/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106</v>
      </c>
      <c r="I24" s="21">
        <v>-67402.28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25113287.649399996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182.57</v>
      </c>
    </row>
    <row r="31" spans="1:11" x14ac:dyDescent="0.2">
      <c r="A31" s="2"/>
    </row>
    <row r="32" spans="1:11" x14ac:dyDescent="0.2">
      <c r="A32" s="2"/>
      <c r="C32" t="s">
        <v>86</v>
      </c>
      <c r="G32" s="3">
        <f>+I7</f>
        <v>7603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1388079.71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-6389.25</v>
      </c>
      <c r="H37" s="1" t="str">
        <f>+G24</f>
        <v>Oct status report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1381690.46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v>6276877</v>
      </c>
      <c r="H43" s="1" t="s">
        <v>115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1796053.03</v>
      </c>
    </row>
    <row r="46" spans="1:11" x14ac:dyDescent="0.2">
      <c r="A46" s="2"/>
    </row>
    <row r="47" spans="1:11" x14ac:dyDescent="0.2">
      <c r="A47" s="2"/>
      <c r="C47" t="s">
        <v>23</v>
      </c>
      <c r="G47" s="20">
        <f>513038*1.03</f>
        <v>528429.14</v>
      </c>
      <c r="H47" s="1" t="str">
        <f>+H43</f>
        <v>07-08 est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372101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-1381690.46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786463.5700000003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786463.5700000003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7603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39">
        <v>26587339.23</v>
      </c>
      <c r="J64" s="19" t="s">
        <v>13</v>
      </c>
      <c r="K64" s="18">
        <f>+K26+K39+K53+K55+K62+K54+K58</f>
        <v>27281441.679399997</v>
      </c>
    </row>
    <row r="65" spans="1:11" ht="13.5" thickTop="1" x14ac:dyDescent="0.2">
      <c r="C65" t="s">
        <v>71</v>
      </c>
      <c r="I65" s="39"/>
      <c r="K65" s="1">
        <f>+G10-K11</f>
        <v>18672950.068</v>
      </c>
    </row>
    <row r="66" spans="1:11" x14ac:dyDescent="0.2">
      <c r="A66" s="4" t="s">
        <v>67</v>
      </c>
      <c r="I66" s="40"/>
      <c r="K66" s="30">
        <f>SUM(K64:K65)</f>
        <v>45954391.747400001</v>
      </c>
    </row>
    <row r="67" spans="1:11" x14ac:dyDescent="0.2">
      <c r="I67" s="40" t="s">
        <v>116</v>
      </c>
      <c r="K67" s="1">
        <v>45838806</v>
      </c>
    </row>
    <row r="68" spans="1:11" x14ac:dyDescent="0.2">
      <c r="I68" s="40" t="s">
        <v>117</v>
      </c>
      <c r="K68" s="1">
        <f>+K66-K67</f>
        <v>115585.74740000069</v>
      </c>
    </row>
    <row r="69" spans="1:11" ht="18" x14ac:dyDescent="0.25">
      <c r="A69" s="8" t="s">
        <v>120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0" spans="1:11" ht="18" x14ac:dyDescent="0.25">
      <c r="A70" s="8" t="str">
        <f>+A2</f>
        <v>Calculation of 2007-08 adj for 2008-09</v>
      </c>
      <c r="B70" s="9"/>
      <c r="C70" s="9"/>
      <c r="D70" s="9"/>
      <c r="E70" s="9"/>
      <c r="F70" s="9"/>
      <c r="G70" s="10"/>
      <c r="H70" s="10"/>
      <c r="I70" s="10"/>
      <c r="J70" s="9"/>
      <c r="K70" s="9"/>
    </row>
    <row r="71" spans="1:11" x14ac:dyDescent="0.2">
      <c r="F71" t="str">
        <f>+F3</f>
        <v>Using est final costs for 2007-08</v>
      </c>
    </row>
    <row r="73" spans="1:11" x14ac:dyDescent="0.2">
      <c r="A73" s="16">
        <f>+A3</f>
        <v>0</v>
      </c>
    </row>
    <row r="76" spans="1:11" x14ac:dyDescent="0.2">
      <c r="A76" s="4" t="s">
        <v>34</v>
      </c>
      <c r="B76" s="4" t="s">
        <v>35</v>
      </c>
    </row>
    <row r="78" spans="1:11" x14ac:dyDescent="0.2">
      <c r="C78" t="s">
        <v>36</v>
      </c>
      <c r="I78" s="1">
        <v>5630.02</v>
      </c>
    </row>
    <row r="80" spans="1:11" x14ac:dyDescent="0.2">
      <c r="C80" t="s">
        <v>3</v>
      </c>
      <c r="G80" s="24">
        <f>+G9</f>
        <v>1058438726</v>
      </c>
    </row>
    <row r="81" spans="1:11" x14ac:dyDescent="0.2">
      <c r="C81" t="s">
        <v>4</v>
      </c>
      <c r="G81" s="1">
        <f>+G80/1000*18</f>
        <v>19051897.068</v>
      </c>
    </row>
    <row r="83" spans="1:11" x14ac:dyDescent="0.2">
      <c r="C83" t="s">
        <v>37</v>
      </c>
    </row>
    <row r="84" spans="1:11" x14ac:dyDescent="0.2">
      <c r="C84" t="s">
        <v>6</v>
      </c>
      <c r="G84" s="3">
        <f>+G13+G30</f>
        <v>6000.3499999999995</v>
      </c>
    </row>
    <row r="86" spans="1:11" x14ac:dyDescent="0.2">
      <c r="C86" t="s">
        <v>7</v>
      </c>
      <c r="I86" s="3">
        <f>+G81/G84</f>
        <v>3175.1309620272154</v>
      </c>
    </row>
    <row r="88" spans="1:11" x14ac:dyDescent="0.2">
      <c r="C88" t="s">
        <v>38</v>
      </c>
      <c r="I88" s="1">
        <f>ROUND(+I78-I86,2)</f>
        <v>2454.89</v>
      </c>
    </row>
    <row r="90" spans="1:11" x14ac:dyDescent="0.2">
      <c r="C90" t="s">
        <v>39</v>
      </c>
      <c r="I90" s="3">
        <f>+G84</f>
        <v>6000.3499999999995</v>
      </c>
    </row>
    <row r="93" spans="1:11" x14ac:dyDescent="0.2">
      <c r="B93" s="4" t="s">
        <v>40</v>
      </c>
      <c r="K93" s="1">
        <f>+I88*I90</f>
        <v>14730199.211499998</v>
      </c>
    </row>
    <row r="96" spans="1:11" x14ac:dyDescent="0.2">
      <c r="A96" s="4" t="s">
        <v>41</v>
      </c>
      <c r="B96" s="4" t="s">
        <v>42</v>
      </c>
    </row>
    <row r="98" spans="1:11" x14ac:dyDescent="0.2">
      <c r="C98" t="s">
        <v>21</v>
      </c>
      <c r="G98" s="1">
        <f>+G43</f>
        <v>6276877</v>
      </c>
    </row>
    <row r="100" spans="1:11" x14ac:dyDescent="0.2">
      <c r="C100" t="s">
        <v>22</v>
      </c>
      <c r="I100" s="1">
        <f>ROUND(+G98*0.286138,2)</f>
        <v>1796053.03</v>
      </c>
    </row>
    <row r="102" spans="1:11" x14ac:dyDescent="0.2">
      <c r="C102" t="s">
        <v>23</v>
      </c>
      <c r="G102" s="1">
        <f>+G47</f>
        <v>528429.14</v>
      </c>
    </row>
    <row r="104" spans="1:11" x14ac:dyDescent="0.2">
      <c r="C104" t="s">
        <v>24</v>
      </c>
      <c r="I104" s="3">
        <f>ROUND(+G102*0.704165,0)</f>
        <v>372101</v>
      </c>
    </row>
    <row r="106" spans="1:11" x14ac:dyDescent="0.2">
      <c r="B106" s="4" t="s">
        <v>43</v>
      </c>
      <c r="K106" s="1">
        <f>+I100+I104</f>
        <v>2168154.0300000003</v>
      </c>
    </row>
    <row r="107" spans="1:11" x14ac:dyDescent="0.2">
      <c r="K107" s="15"/>
    </row>
    <row r="108" spans="1:11" x14ac:dyDescent="0.2">
      <c r="K108" s="1"/>
    </row>
    <row r="109" spans="1:11" x14ac:dyDescent="0.2">
      <c r="A109" s="4" t="s">
        <v>44</v>
      </c>
      <c r="B109" s="4" t="s">
        <v>45</v>
      </c>
    </row>
    <row r="111" spans="1:11" x14ac:dyDescent="0.2">
      <c r="C111" t="s">
        <v>33</v>
      </c>
      <c r="I111" s="1">
        <f>+K64</f>
        <v>27281441.679399997</v>
      </c>
    </row>
    <row r="113" spans="1:11" x14ac:dyDescent="0.2">
      <c r="C113" t="s">
        <v>46</v>
      </c>
      <c r="I113" s="1">
        <f>-K93</f>
        <v>-14730199.211499998</v>
      </c>
    </row>
    <row r="115" spans="1:11" x14ac:dyDescent="0.2">
      <c r="C115" t="s">
        <v>47</v>
      </c>
      <c r="I115" s="3">
        <f>-K106</f>
        <v>-2168154.0300000003</v>
      </c>
    </row>
    <row r="116" spans="1:11" x14ac:dyDescent="0.2">
      <c r="K116" s="15"/>
    </row>
    <row r="117" spans="1:11" x14ac:dyDescent="0.2">
      <c r="B117" s="4" t="s">
        <v>48</v>
      </c>
      <c r="K117" s="3">
        <f>+I111+I113+I115</f>
        <v>10383088.437899999</v>
      </c>
    </row>
    <row r="121" spans="1:11" s="6" customFormat="1" ht="16.5" thickBot="1" x14ac:dyDescent="0.3">
      <c r="A121" s="5" t="s">
        <v>33</v>
      </c>
      <c r="G121" s="7"/>
      <c r="H121" s="7"/>
      <c r="I121" s="7"/>
      <c r="K121" s="18">
        <f>SUM(K93:K117)</f>
        <v>27281441.679399997</v>
      </c>
    </row>
    <row r="122" spans="1:11" ht="13.5" thickTop="1" x14ac:dyDescent="0.2"/>
    <row r="123" spans="1:11" x14ac:dyDescent="0.2">
      <c r="K123" s="15"/>
    </row>
    <row r="124" spans="1:11" x14ac:dyDescent="0.2">
      <c r="I124" s="25"/>
      <c r="J124" s="26"/>
      <c r="K124" s="27"/>
    </row>
    <row r="125" spans="1:11" x14ac:dyDescent="0.2">
      <c r="K125" s="15"/>
    </row>
  </sheetData>
  <phoneticPr fontId="0" type="noConversion"/>
  <pageMargins left="0.5" right="0.25" top="0.5" bottom="0.5" header="0.5" footer="0.5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abSelected="1" workbookViewId="0"/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100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97</v>
      </c>
    </row>
    <row r="4" spans="1:11" x14ac:dyDescent="0.2">
      <c r="K4" s="1">
        <f>+G13+G30</f>
        <v>5980.3499999999995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111</v>
      </c>
      <c r="I7" s="20">
        <v>7753</v>
      </c>
    </row>
    <row r="8" spans="1:11" x14ac:dyDescent="0.2">
      <c r="A8" s="2"/>
    </row>
    <row r="9" spans="1:11" x14ac:dyDescent="0.2">
      <c r="A9" s="2"/>
      <c r="C9" t="s">
        <v>3</v>
      </c>
      <c r="G9" s="22">
        <v>1058438726</v>
      </c>
    </row>
    <row r="10" spans="1:11" x14ac:dyDescent="0.2">
      <c r="A10" s="2"/>
      <c r="C10" t="s">
        <v>4</v>
      </c>
      <c r="G10" s="23">
        <f>+G9/1000*18</f>
        <v>19051897.068</v>
      </c>
      <c r="J10" s="33" t="s">
        <v>68</v>
      </c>
      <c r="K10" s="32">
        <f>+G10-K11</f>
        <v>18961896.068</v>
      </c>
    </row>
    <row r="11" spans="1:11" x14ac:dyDescent="0.2">
      <c r="A11" s="2"/>
      <c r="J11" s="33" t="s">
        <v>69</v>
      </c>
      <c r="K11" s="32">
        <v>90001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f>5817.78-20</f>
        <v>5797.78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3286.0676100162477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4466.93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5797.78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25898277.415400002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107</v>
      </c>
      <c r="I24" s="21">
        <v>-62432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25835845.415400002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182.57</v>
      </c>
    </row>
    <row r="31" spans="1:11" x14ac:dyDescent="0.2">
      <c r="A31" s="2"/>
    </row>
    <row r="32" spans="1:11" x14ac:dyDescent="0.2">
      <c r="A32" s="2"/>
      <c r="C32" t="s">
        <v>86</v>
      </c>
      <c r="G32" s="3">
        <v>7691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1404145.87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-5825</v>
      </c>
      <c r="H37" s="1" t="str">
        <f>+G24</f>
        <v>Nov 07 status rep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1398320.87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v>6276877</v>
      </c>
      <c r="H43" s="1" t="s">
        <v>108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1796053.03</v>
      </c>
    </row>
    <row r="46" spans="1:11" x14ac:dyDescent="0.2">
      <c r="A46" s="2"/>
    </row>
    <row r="47" spans="1:11" x14ac:dyDescent="0.2">
      <c r="A47" s="2"/>
      <c r="C47" t="s">
        <v>23</v>
      </c>
      <c r="G47" s="20">
        <f>513000*1.03</f>
        <v>528390</v>
      </c>
      <c r="H47" s="1" t="str">
        <f>+H43</f>
        <v>07-08 est final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372074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-1398320.87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769806.16000000015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769806.16000000015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7753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28003972.445400003</v>
      </c>
    </row>
    <row r="65" spans="1:11" ht="13.5" thickTop="1" x14ac:dyDescent="0.2">
      <c r="C65" t="s">
        <v>71</v>
      </c>
      <c r="K65" s="1">
        <f>+G10-K11</f>
        <v>18961896.068</v>
      </c>
    </row>
    <row r="66" spans="1:11" x14ac:dyDescent="0.2">
      <c r="A66" s="4" t="s">
        <v>67</v>
      </c>
      <c r="I66" s="31"/>
      <c r="K66" s="30">
        <f>SUM(K64:K65)</f>
        <v>46965868.513400003</v>
      </c>
    </row>
    <row r="67" spans="1:11" x14ac:dyDescent="0.2">
      <c r="I67" s="31"/>
      <c r="K67" s="30"/>
    </row>
    <row r="68" spans="1:11" x14ac:dyDescent="0.2">
      <c r="I68" s="31"/>
      <c r="K68" s="1"/>
    </row>
    <row r="69" spans="1:11" ht="18" x14ac:dyDescent="0.25">
      <c r="A69" s="8" t="s">
        <v>120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0" spans="1:11" ht="18" x14ac:dyDescent="0.25">
      <c r="A70" s="8" t="str">
        <f>+A2</f>
        <v>Calculation of prop 2008-09</v>
      </c>
      <c r="B70" s="9"/>
      <c r="C70" s="9"/>
      <c r="D70" s="9"/>
      <c r="E70" s="9"/>
      <c r="F70" s="9"/>
      <c r="G70" s="10"/>
      <c r="H70" s="10"/>
      <c r="I70" s="10"/>
      <c r="J70" s="9"/>
      <c r="K70" s="9"/>
    </row>
    <row r="71" spans="1:11" x14ac:dyDescent="0.2">
      <c r="F71" t="str">
        <f>+F3</f>
        <v>Using est costs for 2007-08</v>
      </c>
    </row>
    <row r="73" spans="1:11" x14ac:dyDescent="0.2">
      <c r="A73" s="16">
        <f>+A3</f>
        <v>0</v>
      </c>
    </row>
    <row r="76" spans="1:11" x14ac:dyDescent="0.2">
      <c r="A76" s="4" t="s">
        <v>34</v>
      </c>
      <c r="B76" s="4" t="s">
        <v>35</v>
      </c>
    </row>
    <row r="78" spans="1:11" x14ac:dyDescent="0.2">
      <c r="C78" t="s">
        <v>36</v>
      </c>
      <c r="I78" s="1">
        <v>5630.02</v>
      </c>
    </row>
    <row r="80" spans="1:11" x14ac:dyDescent="0.2">
      <c r="C80" t="s">
        <v>3</v>
      </c>
      <c r="G80" s="24">
        <f>+G9</f>
        <v>1058438726</v>
      </c>
    </row>
    <row r="81" spans="1:11" x14ac:dyDescent="0.2">
      <c r="C81" t="s">
        <v>4</v>
      </c>
      <c r="G81" s="1">
        <f>+G80/1000*18</f>
        <v>19051897.068</v>
      </c>
    </row>
    <row r="83" spans="1:11" x14ac:dyDescent="0.2">
      <c r="C83" t="s">
        <v>37</v>
      </c>
    </row>
    <row r="84" spans="1:11" x14ac:dyDescent="0.2">
      <c r="C84" t="s">
        <v>6</v>
      </c>
      <c r="G84" s="3">
        <f>+G13+G30</f>
        <v>5980.3499999999995</v>
      </c>
    </row>
    <row r="86" spans="1:11" x14ac:dyDescent="0.2">
      <c r="C86" t="s">
        <v>7</v>
      </c>
      <c r="I86" s="3">
        <f>+G81/G84</f>
        <v>3185.749507637513</v>
      </c>
    </row>
    <row r="88" spans="1:11" x14ac:dyDescent="0.2">
      <c r="C88" t="s">
        <v>38</v>
      </c>
      <c r="I88" s="1">
        <f>ROUND(+I78-I86,2)</f>
        <v>2444.27</v>
      </c>
    </row>
    <row r="90" spans="1:11" x14ac:dyDescent="0.2">
      <c r="C90" t="s">
        <v>39</v>
      </c>
      <c r="I90" s="3">
        <f>+G84</f>
        <v>5980.3499999999995</v>
      </c>
    </row>
    <row r="93" spans="1:11" x14ac:dyDescent="0.2">
      <c r="B93" s="4" t="s">
        <v>40</v>
      </c>
      <c r="K93" s="1">
        <f>+I88*I90</f>
        <v>14617590.094499998</v>
      </c>
    </row>
    <row r="96" spans="1:11" x14ac:dyDescent="0.2">
      <c r="A96" s="4" t="s">
        <v>41</v>
      </c>
      <c r="B96" s="4" t="s">
        <v>42</v>
      </c>
    </row>
    <row r="98" spans="1:11" x14ac:dyDescent="0.2">
      <c r="C98" t="s">
        <v>21</v>
      </c>
      <c r="G98" s="1">
        <f>+G43</f>
        <v>6276877</v>
      </c>
    </row>
    <row r="100" spans="1:11" x14ac:dyDescent="0.2">
      <c r="C100" t="s">
        <v>22</v>
      </c>
      <c r="I100" s="1">
        <f>ROUND(+G98*0.286138,2)</f>
        <v>1796053.03</v>
      </c>
    </row>
    <row r="102" spans="1:11" x14ac:dyDescent="0.2">
      <c r="C102" t="s">
        <v>23</v>
      </c>
      <c r="G102" s="1">
        <f>+G47</f>
        <v>528390</v>
      </c>
    </row>
    <row r="104" spans="1:11" x14ac:dyDescent="0.2">
      <c r="C104" t="s">
        <v>24</v>
      </c>
      <c r="I104" s="3">
        <f>ROUND(+G102*0.704165,0)</f>
        <v>372074</v>
      </c>
    </row>
    <row r="106" spans="1:11" x14ac:dyDescent="0.2">
      <c r="B106" s="4" t="s">
        <v>43</v>
      </c>
      <c r="K106" s="1">
        <f>+I100+I104</f>
        <v>2168127.0300000003</v>
      </c>
    </row>
    <row r="107" spans="1:11" x14ac:dyDescent="0.2">
      <c r="K107" s="15"/>
    </row>
    <row r="108" spans="1:11" x14ac:dyDescent="0.2">
      <c r="K108" s="1"/>
    </row>
    <row r="109" spans="1:11" x14ac:dyDescent="0.2">
      <c r="A109" s="4" t="s">
        <v>44</v>
      </c>
      <c r="B109" s="4" t="s">
        <v>45</v>
      </c>
    </row>
    <row r="111" spans="1:11" x14ac:dyDescent="0.2">
      <c r="C111" t="s">
        <v>33</v>
      </c>
      <c r="I111" s="1">
        <f>+K64</f>
        <v>28003972.445400003</v>
      </c>
    </row>
    <row r="113" spans="1:11" x14ac:dyDescent="0.2">
      <c r="C113" t="s">
        <v>46</v>
      </c>
      <c r="I113" s="1">
        <f>-K93</f>
        <v>-14617590.094499998</v>
      </c>
    </row>
    <row r="115" spans="1:11" x14ac:dyDescent="0.2">
      <c r="C115" t="s">
        <v>47</v>
      </c>
      <c r="I115" s="3">
        <f>-K106</f>
        <v>-2168127.0300000003</v>
      </c>
    </row>
    <row r="116" spans="1:11" x14ac:dyDescent="0.2">
      <c r="K116" s="15"/>
    </row>
    <row r="117" spans="1:11" x14ac:dyDescent="0.2">
      <c r="B117" s="4" t="s">
        <v>48</v>
      </c>
      <c r="K117" s="3">
        <f>+I111+I113+I115</f>
        <v>11218255.320900004</v>
      </c>
    </row>
    <row r="121" spans="1:11" s="6" customFormat="1" ht="16.5" thickBot="1" x14ac:dyDescent="0.3">
      <c r="A121" s="5" t="s">
        <v>33</v>
      </c>
      <c r="G121" s="7"/>
      <c r="H121" s="7"/>
      <c r="I121" s="7"/>
      <c r="K121" s="18">
        <f>SUM(K93:K117)</f>
        <v>28003972.445400003</v>
      </c>
    </row>
    <row r="122" spans="1:11" ht="13.5" thickTop="1" x14ac:dyDescent="0.2"/>
    <row r="123" spans="1:11" x14ac:dyDescent="0.2">
      <c r="K123" s="15"/>
    </row>
    <row r="124" spans="1:11" x14ac:dyDescent="0.2">
      <c r="I124" s="25"/>
      <c r="J124" s="26"/>
      <c r="K124" s="27"/>
    </row>
    <row r="125" spans="1:11" x14ac:dyDescent="0.2">
      <c r="K125" s="15"/>
    </row>
  </sheetData>
  <phoneticPr fontId="0" type="noConversion"/>
  <pageMargins left="0.75" right="0.75" top="0.5" bottom="0.5" header="0.5" footer="0.5"/>
  <pageSetup scale="9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opLeftCell="A46" workbookViewId="0">
      <selection activeCell="K17" sqref="K17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109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 t="s">
        <v>101</v>
      </c>
      <c r="F3" s="29" t="s">
        <v>110</v>
      </c>
    </row>
    <row r="4" spans="1:11" x14ac:dyDescent="0.2">
      <c r="K4" s="1">
        <f>+G30+G13</f>
        <v>5960.3499999999995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112</v>
      </c>
      <c r="I7" s="20">
        <v>7903</v>
      </c>
    </row>
    <row r="8" spans="1:11" x14ac:dyDescent="0.2">
      <c r="A8" s="2"/>
    </row>
    <row r="9" spans="1:11" x14ac:dyDescent="0.2">
      <c r="A9" s="2"/>
      <c r="C9" t="s">
        <v>3</v>
      </c>
      <c r="G9" s="22">
        <v>1058438726</v>
      </c>
    </row>
    <row r="10" spans="1:11" x14ac:dyDescent="0.2">
      <c r="A10" s="2"/>
      <c r="C10" t="s">
        <v>4</v>
      </c>
      <c r="G10" s="23">
        <f>+G9/1000*18</f>
        <v>19051897.068</v>
      </c>
      <c r="J10" s="33" t="s">
        <v>68</v>
      </c>
      <c r="K10" s="32">
        <f>+G10-K11</f>
        <v>18961896.068</v>
      </c>
    </row>
    <row r="11" spans="1:11" x14ac:dyDescent="0.2">
      <c r="A11" s="2"/>
      <c r="J11" s="33" t="s">
        <v>69</v>
      </c>
      <c r="K11" s="32">
        <v>90001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f>5817.78-40</f>
        <v>5777.78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3297.4424550605945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4605.5600000000004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5777.78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26609912.456800003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107</v>
      </c>
      <c r="I24" s="21">
        <v>-62432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26547480.456800003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182.57</v>
      </c>
    </row>
    <row r="31" spans="1:11" x14ac:dyDescent="0.2">
      <c r="A31" s="2"/>
    </row>
    <row r="32" spans="1:11" x14ac:dyDescent="0.2">
      <c r="A32" s="2"/>
      <c r="C32" t="s">
        <v>86</v>
      </c>
      <c r="G32" s="3">
        <v>7691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1404145.87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-5825</v>
      </c>
      <c r="H37" s="1" t="str">
        <f>+G24</f>
        <v>Nov 07 status rep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1398320.87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f>6276877*1.05</f>
        <v>6590720.8500000006</v>
      </c>
      <c r="H43" s="41" t="s">
        <v>118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1885855.68</v>
      </c>
    </row>
    <row r="46" spans="1:11" x14ac:dyDescent="0.2">
      <c r="A46" s="2"/>
    </row>
    <row r="47" spans="1:11" x14ac:dyDescent="0.2">
      <c r="A47" s="2"/>
      <c r="C47" t="s">
        <v>23</v>
      </c>
      <c r="G47" s="20">
        <f>513000*1.03*1.03</f>
        <v>544241.70000000007</v>
      </c>
      <c r="H47" s="41" t="s">
        <v>119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383236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-1398320.87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870770.80999999959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870770.80999999959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7903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28816572.136800002</v>
      </c>
    </row>
    <row r="65" spans="1:11" ht="13.5" thickTop="1" x14ac:dyDescent="0.2">
      <c r="C65" t="s">
        <v>71</v>
      </c>
      <c r="K65" s="1">
        <f>+G10-K11</f>
        <v>18961896.068</v>
      </c>
    </row>
    <row r="66" spans="1:11" x14ac:dyDescent="0.2">
      <c r="A66" s="4" t="s">
        <v>67</v>
      </c>
      <c r="I66" s="31"/>
      <c r="K66" s="30">
        <f>SUM(K64:K65)</f>
        <v>47778468.204800002</v>
      </c>
    </row>
    <row r="67" spans="1:11" x14ac:dyDescent="0.2">
      <c r="I67" s="31"/>
      <c r="K67" s="30"/>
    </row>
    <row r="68" spans="1:11" x14ac:dyDescent="0.2">
      <c r="I68" s="31"/>
      <c r="K68" s="1"/>
    </row>
    <row r="69" spans="1:11" ht="18" x14ac:dyDescent="0.25">
      <c r="A69" s="8" t="s">
        <v>0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0" spans="1:11" ht="18" x14ac:dyDescent="0.25">
      <c r="A70" s="8" t="str">
        <f>+A2</f>
        <v>Calculation of prop 2009-10</v>
      </c>
      <c r="B70" s="9"/>
      <c r="C70" s="9"/>
      <c r="D70" s="9"/>
      <c r="E70" s="9"/>
      <c r="F70" s="9"/>
      <c r="G70" s="10"/>
      <c r="H70" s="10"/>
      <c r="I70" s="10"/>
      <c r="J70" s="9"/>
      <c r="K70" s="9"/>
    </row>
    <row r="71" spans="1:11" x14ac:dyDescent="0.2">
      <c r="F71" t="str">
        <f>+F3</f>
        <v>Using est costs for 2008-09</v>
      </c>
    </row>
    <row r="73" spans="1:11" x14ac:dyDescent="0.2">
      <c r="A73" s="16" t="str">
        <f>+A3</f>
        <v>h:/2007-08 budget/first rev - state aid</v>
      </c>
    </row>
    <row r="76" spans="1:11" x14ac:dyDescent="0.2">
      <c r="A76" s="4" t="s">
        <v>34</v>
      </c>
      <c r="B76" s="4" t="s">
        <v>35</v>
      </c>
    </row>
    <row r="78" spans="1:11" x14ac:dyDescent="0.2">
      <c r="C78" t="s">
        <v>36</v>
      </c>
      <c r="I78" s="1">
        <v>5630.02</v>
      </c>
    </row>
    <row r="80" spans="1:11" x14ac:dyDescent="0.2">
      <c r="C80" t="s">
        <v>3</v>
      </c>
      <c r="G80" s="24">
        <f>+G9</f>
        <v>1058438726</v>
      </c>
    </row>
    <row r="81" spans="1:11" x14ac:dyDescent="0.2">
      <c r="C81" t="s">
        <v>4</v>
      </c>
      <c r="G81" s="1">
        <f>+G80/1000*18</f>
        <v>19051897.068</v>
      </c>
    </row>
    <row r="83" spans="1:11" x14ac:dyDescent="0.2">
      <c r="C83" t="s">
        <v>37</v>
      </c>
    </row>
    <row r="84" spans="1:11" x14ac:dyDescent="0.2">
      <c r="C84" t="s">
        <v>6</v>
      </c>
      <c r="G84" s="3">
        <f>+G13+G30</f>
        <v>5960.3499999999995</v>
      </c>
    </row>
    <row r="86" spans="1:11" x14ac:dyDescent="0.2">
      <c r="C86" t="s">
        <v>7</v>
      </c>
      <c r="I86" s="3">
        <f>+G81/G84</f>
        <v>3196.4393144697883</v>
      </c>
    </row>
    <row r="88" spans="1:11" x14ac:dyDescent="0.2">
      <c r="C88" t="s">
        <v>38</v>
      </c>
      <c r="I88" s="1">
        <f>ROUND(+I78-I86,2)</f>
        <v>2433.58</v>
      </c>
    </row>
    <row r="90" spans="1:11" x14ac:dyDescent="0.2">
      <c r="C90" t="s">
        <v>39</v>
      </c>
      <c r="I90" s="3">
        <f>+G84</f>
        <v>5960.3499999999995</v>
      </c>
    </row>
    <row r="93" spans="1:11" x14ac:dyDescent="0.2">
      <c r="B93" s="4" t="s">
        <v>40</v>
      </c>
      <c r="K93" s="1">
        <f>+I88*I90</f>
        <v>14504988.552999998</v>
      </c>
    </row>
    <row r="96" spans="1:11" x14ac:dyDescent="0.2">
      <c r="A96" s="4" t="s">
        <v>41</v>
      </c>
      <c r="B96" s="4" t="s">
        <v>42</v>
      </c>
    </row>
    <row r="98" spans="1:11" x14ac:dyDescent="0.2">
      <c r="C98" t="s">
        <v>21</v>
      </c>
      <c r="G98" s="1">
        <f>+G43</f>
        <v>6590720.8500000006</v>
      </c>
    </row>
    <row r="100" spans="1:11" x14ac:dyDescent="0.2">
      <c r="C100" t="s">
        <v>22</v>
      </c>
      <c r="I100" s="1">
        <f>ROUND(+G98*0.286138,2)</f>
        <v>1885855.68</v>
      </c>
    </row>
    <row r="102" spans="1:11" x14ac:dyDescent="0.2">
      <c r="C102" t="s">
        <v>23</v>
      </c>
      <c r="G102" s="1">
        <f>+G47</f>
        <v>544241.70000000007</v>
      </c>
    </row>
    <row r="104" spans="1:11" x14ac:dyDescent="0.2">
      <c r="C104" t="s">
        <v>24</v>
      </c>
      <c r="I104" s="3">
        <f>ROUND(+G102*0.704165,0)</f>
        <v>383236</v>
      </c>
    </row>
    <row r="106" spans="1:11" x14ac:dyDescent="0.2">
      <c r="B106" s="4" t="s">
        <v>43</v>
      </c>
      <c r="K106" s="1">
        <f>+I100+I104</f>
        <v>2269091.6799999997</v>
      </c>
    </row>
    <row r="107" spans="1:11" x14ac:dyDescent="0.2">
      <c r="K107" s="15"/>
    </row>
    <row r="108" spans="1:11" x14ac:dyDescent="0.2">
      <c r="K108" s="1"/>
    </row>
    <row r="109" spans="1:11" x14ac:dyDescent="0.2">
      <c r="A109" s="4" t="s">
        <v>44</v>
      </c>
      <c r="B109" s="4" t="s">
        <v>45</v>
      </c>
    </row>
    <row r="111" spans="1:11" x14ac:dyDescent="0.2">
      <c r="C111" t="s">
        <v>33</v>
      </c>
      <c r="I111" s="1">
        <f>+K64</f>
        <v>28816572.136800002</v>
      </c>
    </row>
    <row r="113" spans="1:11" x14ac:dyDescent="0.2">
      <c r="C113" t="s">
        <v>46</v>
      </c>
      <c r="I113" s="1">
        <f>-K93</f>
        <v>-14504988.552999998</v>
      </c>
    </row>
    <row r="115" spans="1:11" x14ac:dyDescent="0.2">
      <c r="C115" t="s">
        <v>47</v>
      </c>
      <c r="I115" s="3">
        <f>-K106</f>
        <v>-2269091.6799999997</v>
      </c>
    </row>
    <row r="116" spans="1:11" x14ac:dyDescent="0.2">
      <c r="K116" s="15"/>
    </row>
    <row r="117" spans="1:11" x14ac:dyDescent="0.2">
      <c r="B117" s="4" t="s">
        <v>48</v>
      </c>
      <c r="K117" s="3">
        <f>+I111+I113+I115</f>
        <v>12042491.903800005</v>
      </c>
    </row>
    <row r="121" spans="1:11" s="6" customFormat="1" ht="16.5" thickBot="1" x14ac:dyDescent="0.3">
      <c r="A121" s="5" t="s">
        <v>33</v>
      </c>
      <c r="G121" s="7"/>
      <c r="H121" s="7"/>
      <c r="I121" s="7"/>
      <c r="K121" s="18">
        <f>SUM(K93:K117)</f>
        <v>28816572.136800002</v>
      </c>
    </row>
    <row r="122" spans="1:11" ht="13.5" thickTop="1" x14ac:dyDescent="0.2"/>
    <row r="123" spans="1:11" x14ac:dyDescent="0.2">
      <c r="K123" s="15"/>
    </row>
    <row r="124" spans="1:11" x14ac:dyDescent="0.2">
      <c r="I124" s="25"/>
      <c r="J124" s="26"/>
      <c r="K124" s="27"/>
    </row>
    <row r="125" spans="1:11" x14ac:dyDescent="0.2">
      <c r="K125" s="15"/>
    </row>
  </sheetData>
  <phoneticPr fontId="0" type="noConversion"/>
  <pageMargins left="0.75" right="0.75" top="0.5" bottom="0.5" header="0.5" footer="0.5"/>
  <pageSetup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103" workbookViewId="0">
      <selection activeCell="A3" sqref="A3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72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73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66</v>
      </c>
      <c r="I7" s="20">
        <v>7306</v>
      </c>
    </row>
    <row r="8" spans="1:11" x14ac:dyDescent="0.2">
      <c r="A8" s="2"/>
    </row>
    <row r="9" spans="1:11" x14ac:dyDescent="0.2">
      <c r="A9" s="2"/>
      <c r="C9" t="s">
        <v>3</v>
      </c>
      <c r="G9" s="22">
        <v>931498451</v>
      </c>
    </row>
    <row r="10" spans="1:11" x14ac:dyDescent="0.2">
      <c r="A10" s="2"/>
      <c r="C10" t="s">
        <v>4</v>
      </c>
      <c r="G10" s="23">
        <f>+G9/1000*18</f>
        <v>16766972.118000001</v>
      </c>
      <c r="J10" s="33" t="s">
        <v>68</v>
      </c>
      <c r="K10" s="32">
        <v>16683200</v>
      </c>
    </row>
    <row r="11" spans="1:11" x14ac:dyDescent="0.2">
      <c r="A11" s="2"/>
      <c r="J11" s="33" t="s">
        <v>69</v>
      </c>
      <c r="K11" s="32">
        <f>+G10-K10</f>
        <v>83772.118000000715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5826.35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2877.7831949676897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4428.22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5826.35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25800359.597000003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74</v>
      </c>
      <c r="I24" s="21">
        <v>-66738.289999999994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25733621.307000004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179.55</v>
      </c>
    </row>
    <row r="31" spans="1:11" x14ac:dyDescent="0.2">
      <c r="A31" s="2"/>
    </row>
    <row r="32" spans="1:11" x14ac:dyDescent="0.2">
      <c r="A32" s="2"/>
      <c r="C32" t="s">
        <v>63</v>
      </c>
      <c r="G32" s="3">
        <f>+I7</f>
        <v>7306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1311792.3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-4846.33</v>
      </c>
      <c r="H37" s="1" t="str">
        <f>+G24</f>
        <v>Feb 06 status rep</v>
      </c>
    </row>
    <row r="38" spans="1:11" x14ac:dyDescent="0.2">
      <c r="A38" s="2"/>
    </row>
    <row r="39" spans="1:11" x14ac:dyDescent="0.2">
      <c r="A39" s="2"/>
      <c r="B39" s="4" t="s">
        <v>18</v>
      </c>
      <c r="G39" s="1">
        <v>3686778</v>
      </c>
      <c r="J39" t="s">
        <v>13</v>
      </c>
      <c r="K39" s="1">
        <f>+G34+G37</f>
        <v>1306945.97</v>
      </c>
    </row>
    <row r="40" spans="1:11" x14ac:dyDescent="0.2">
      <c r="A40" s="2"/>
      <c r="G40" s="3">
        <v>1289688</v>
      </c>
    </row>
    <row r="41" spans="1:11" x14ac:dyDescent="0.2">
      <c r="A41" s="2" t="s">
        <v>19</v>
      </c>
      <c r="B41" s="4" t="s">
        <v>20</v>
      </c>
      <c r="G41" s="1">
        <f>SUM(G39:G40)</f>
        <v>4976466</v>
      </c>
    </row>
    <row r="42" spans="1:11" x14ac:dyDescent="0.2">
      <c r="A42" s="2"/>
      <c r="G42" s="1">
        <f>1289688*0.1293</f>
        <v>166756.65839999999</v>
      </c>
    </row>
    <row r="43" spans="1:11" x14ac:dyDescent="0.2">
      <c r="A43" s="2"/>
      <c r="C43" t="s">
        <v>21</v>
      </c>
      <c r="G43" s="20">
        <v>4976466</v>
      </c>
      <c r="H43" s="1" t="s">
        <v>70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1423956.03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347232</v>
      </c>
      <c r="H47" s="1" t="s">
        <v>70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244509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-1306945.97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361519.06000000006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361519.06000000006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7306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27402086.337000001</v>
      </c>
    </row>
    <row r="65" spans="1:11" ht="13.5" thickTop="1" x14ac:dyDescent="0.2">
      <c r="C65" t="s">
        <v>71</v>
      </c>
      <c r="K65" s="1">
        <f>+G10-K11</f>
        <v>16683200</v>
      </c>
    </row>
    <row r="66" spans="1:11" x14ac:dyDescent="0.2">
      <c r="A66" s="4" t="s">
        <v>67</v>
      </c>
      <c r="I66" s="31"/>
      <c r="K66" s="30">
        <f>SUM(K64:K65)</f>
        <v>44085286.336999997</v>
      </c>
    </row>
    <row r="67" spans="1:11" x14ac:dyDescent="0.2">
      <c r="I67" s="31"/>
      <c r="K67" s="1"/>
    </row>
    <row r="68" spans="1:11" ht="18" x14ac:dyDescent="0.25">
      <c r="A68" s="8" t="s">
        <v>120</v>
      </c>
      <c r="B68" s="9"/>
      <c r="C68" s="9"/>
      <c r="D68" s="9"/>
      <c r="E68" s="9"/>
      <c r="F68" s="9"/>
      <c r="G68" s="10"/>
      <c r="H68" s="10"/>
      <c r="I68" s="10"/>
      <c r="J68" s="9"/>
      <c r="K68" s="9"/>
    </row>
    <row r="69" spans="1:11" ht="18" x14ac:dyDescent="0.25">
      <c r="A69" s="8" t="str">
        <f>+A2</f>
        <v>Calculation of FINAL REVISION for 2005-06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2" spans="1:11" x14ac:dyDescent="0.2">
      <c r="A72" s="16">
        <f>+A3</f>
        <v>0</v>
      </c>
    </row>
    <row r="75" spans="1:11" x14ac:dyDescent="0.2">
      <c r="A75" s="4" t="s">
        <v>34</v>
      </c>
      <c r="B75" s="4" t="s">
        <v>35</v>
      </c>
    </row>
    <row r="77" spans="1:11" x14ac:dyDescent="0.2">
      <c r="C77" t="s">
        <v>36</v>
      </c>
      <c r="I77" s="1">
        <v>5630.02</v>
      </c>
    </row>
    <row r="79" spans="1:11" x14ac:dyDescent="0.2">
      <c r="C79" t="s">
        <v>3</v>
      </c>
      <c r="G79" s="24">
        <f>+G9</f>
        <v>931498451</v>
      </c>
    </row>
    <row r="80" spans="1:11" x14ac:dyDescent="0.2">
      <c r="C80" t="s">
        <v>4</v>
      </c>
      <c r="G80" s="1">
        <f>+G79/1000*18</f>
        <v>16766972.118000001</v>
      </c>
    </row>
    <row r="82" spans="1:11" x14ac:dyDescent="0.2">
      <c r="C82" t="s">
        <v>37</v>
      </c>
    </row>
    <row r="83" spans="1:11" x14ac:dyDescent="0.2">
      <c r="C83" t="s">
        <v>6</v>
      </c>
      <c r="G83" s="3">
        <f>+G13+G30</f>
        <v>6005.9000000000005</v>
      </c>
    </row>
    <row r="85" spans="1:11" x14ac:dyDescent="0.2">
      <c r="C85" t="s">
        <v>7</v>
      </c>
      <c r="I85" s="3">
        <f>+G80/G83</f>
        <v>2791.7501320368301</v>
      </c>
    </row>
    <row r="87" spans="1:11" x14ac:dyDescent="0.2">
      <c r="C87" t="s">
        <v>38</v>
      </c>
      <c r="I87" s="1">
        <f>ROUND(+I77-I85,2)</f>
        <v>2838.27</v>
      </c>
    </row>
    <row r="89" spans="1:11" x14ac:dyDescent="0.2">
      <c r="C89" t="s">
        <v>39</v>
      </c>
      <c r="I89" s="3">
        <f>+G83</f>
        <v>6005.9000000000005</v>
      </c>
    </row>
    <row r="92" spans="1:11" x14ac:dyDescent="0.2">
      <c r="B92" s="4" t="s">
        <v>40</v>
      </c>
      <c r="K92" s="1">
        <f>+I87*I89</f>
        <v>17046365.793000001</v>
      </c>
    </row>
    <row r="95" spans="1:11" x14ac:dyDescent="0.2">
      <c r="A95" s="4" t="s">
        <v>41</v>
      </c>
      <c r="B95" s="4" t="s">
        <v>42</v>
      </c>
    </row>
    <row r="97" spans="1:11" x14ac:dyDescent="0.2">
      <c r="C97" t="s">
        <v>21</v>
      </c>
      <c r="G97" s="1">
        <f>+G43</f>
        <v>4976466</v>
      </c>
    </row>
    <row r="99" spans="1:11" x14ac:dyDescent="0.2">
      <c r="C99" t="s">
        <v>22</v>
      </c>
      <c r="I99" s="1">
        <f>ROUND(+G97*0.286138,2)</f>
        <v>1423956.03</v>
      </c>
    </row>
    <row r="101" spans="1:11" x14ac:dyDescent="0.2">
      <c r="C101" t="s">
        <v>23</v>
      </c>
      <c r="G101" s="1">
        <f>+G47</f>
        <v>347232</v>
      </c>
    </row>
    <row r="103" spans="1:11" x14ac:dyDescent="0.2">
      <c r="C103" t="s">
        <v>24</v>
      </c>
      <c r="I103" s="3">
        <f>ROUND(+G101*0.704165,0)</f>
        <v>244509</v>
      </c>
    </row>
    <row r="105" spans="1:11" x14ac:dyDescent="0.2">
      <c r="B105" s="4" t="s">
        <v>43</v>
      </c>
      <c r="K105" s="1">
        <f>+I99+I103</f>
        <v>1668465.03</v>
      </c>
    </row>
    <row r="106" spans="1:11" x14ac:dyDescent="0.2">
      <c r="K106" s="15"/>
    </row>
    <row r="107" spans="1:11" x14ac:dyDescent="0.2">
      <c r="K107" s="1"/>
    </row>
    <row r="108" spans="1:11" x14ac:dyDescent="0.2">
      <c r="A108" s="4" t="s">
        <v>44</v>
      </c>
      <c r="B108" s="4" t="s">
        <v>45</v>
      </c>
    </row>
    <row r="110" spans="1:11" x14ac:dyDescent="0.2">
      <c r="C110" t="s">
        <v>33</v>
      </c>
      <c r="I110" s="1">
        <f>+K64</f>
        <v>27402086.337000001</v>
      </c>
    </row>
    <row r="112" spans="1:11" x14ac:dyDescent="0.2">
      <c r="C112" t="s">
        <v>46</v>
      </c>
      <c r="I112" s="1">
        <f>-K92</f>
        <v>-17046365.793000001</v>
      </c>
    </row>
    <row r="114" spans="1:11" x14ac:dyDescent="0.2">
      <c r="C114" t="s">
        <v>47</v>
      </c>
      <c r="I114" s="3">
        <f>-K105</f>
        <v>-1668465.03</v>
      </c>
    </row>
    <row r="115" spans="1:11" x14ac:dyDescent="0.2">
      <c r="K115" s="15"/>
    </row>
    <row r="116" spans="1:11" x14ac:dyDescent="0.2">
      <c r="B116" s="4" t="s">
        <v>48</v>
      </c>
      <c r="K116" s="3">
        <f>+I110+I112+I114</f>
        <v>8687255.5140000004</v>
      </c>
    </row>
    <row r="120" spans="1:11" s="6" customFormat="1" ht="16.5" thickBot="1" x14ac:dyDescent="0.3">
      <c r="A120" s="5" t="s">
        <v>33</v>
      </c>
      <c r="G120" s="7"/>
      <c r="H120" s="7"/>
      <c r="I120" s="7"/>
      <c r="K120" s="18">
        <f>SUM(K92:K116)</f>
        <v>27402086.337000005</v>
      </c>
    </row>
    <row r="121" spans="1:11" ht="13.5" thickTop="1" x14ac:dyDescent="0.2"/>
    <row r="122" spans="1:11" x14ac:dyDescent="0.2">
      <c r="K122" s="15"/>
    </row>
    <row r="123" spans="1:11" x14ac:dyDescent="0.2">
      <c r="I123" s="25"/>
      <c r="J123" s="26"/>
      <c r="K123" s="27"/>
    </row>
    <row r="124" spans="1:11" x14ac:dyDescent="0.2">
      <c r="K124" s="15"/>
    </row>
  </sheetData>
  <phoneticPr fontId="0" type="noConversion"/>
  <pageMargins left="0.5" right="0.25" top="0.5" bottom="0.5" header="0.5" footer="0.5"/>
  <pageSetup scale="4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100" workbookViewId="0">
      <selection activeCell="A69" sqref="A69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72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 t="s">
        <v>78</v>
      </c>
      <c r="F3" s="29" t="s">
        <v>79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66</v>
      </c>
      <c r="I7" s="20">
        <v>7306</v>
      </c>
    </row>
    <row r="8" spans="1:11" x14ac:dyDescent="0.2">
      <c r="A8" s="2"/>
    </row>
    <row r="9" spans="1:11" x14ac:dyDescent="0.2">
      <c r="A9" s="2"/>
      <c r="C9" t="s">
        <v>3</v>
      </c>
      <c r="G9" s="22">
        <v>931498451</v>
      </c>
    </row>
    <row r="10" spans="1:11" x14ac:dyDescent="0.2">
      <c r="A10" s="2"/>
      <c r="C10" t="s">
        <v>4</v>
      </c>
      <c r="G10" s="23">
        <f>+G9/1000*18</f>
        <v>16766972.118000001</v>
      </c>
      <c r="J10" s="33" t="s">
        <v>68</v>
      </c>
      <c r="K10" s="32">
        <v>16683200</v>
      </c>
    </row>
    <row r="11" spans="1:11" x14ac:dyDescent="0.2">
      <c r="A11" s="2"/>
      <c r="J11" s="33" t="s">
        <v>69</v>
      </c>
      <c r="K11" s="32">
        <f>+G10-K10</f>
        <v>83772.118000000715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5826.35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2877.7831949676897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4428.22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5826.35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25800359.597000003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74</v>
      </c>
      <c r="I24" s="21">
        <v>-66738.289999999994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25733621.307000004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179.55</v>
      </c>
    </row>
    <row r="31" spans="1:11" x14ac:dyDescent="0.2">
      <c r="A31" s="2"/>
    </row>
    <row r="32" spans="1:11" x14ac:dyDescent="0.2">
      <c r="A32" s="2"/>
      <c r="C32" t="s">
        <v>63</v>
      </c>
      <c r="G32" s="3">
        <f>+I7</f>
        <v>7306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1311792.3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-4846.33</v>
      </c>
      <c r="H37" s="1" t="str">
        <f>+G24</f>
        <v>Feb 06 status rep</v>
      </c>
    </row>
    <row r="38" spans="1:11" x14ac:dyDescent="0.2">
      <c r="A38" s="2"/>
    </row>
    <row r="39" spans="1:11" x14ac:dyDescent="0.2">
      <c r="A39" s="2"/>
      <c r="B39" s="4" t="s">
        <v>18</v>
      </c>
      <c r="G39" s="25"/>
      <c r="J39" t="s">
        <v>13</v>
      </c>
      <c r="K39" s="1">
        <f>+G34+G37</f>
        <v>1306945.97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  <c r="G41" s="25"/>
    </row>
    <row r="42" spans="1:11" x14ac:dyDescent="0.2">
      <c r="A42" s="2"/>
      <c r="G42" s="25"/>
    </row>
    <row r="43" spans="1:11" x14ac:dyDescent="0.2">
      <c r="A43" s="2"/>
      <c r="C43" t="s">
        <v>21</v>
      </c>
      <c r="G43" s="20">
        <v>5041319</v>
      </c>
      <c r="H43" s="1" t="s">
        <v>77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1442512.94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347232</v>
      </c>
      <c r="H47" s="1" t="s">
        <v>70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244509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-1306945.97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380075.97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380075.97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7306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27420643.247000001</v>
      </c>
    </row>
    <row r="65" spans="1:11" ht="13.5" thickTop="1" x14ac:dyDescent="0.2">
      <c r="G65" s="1" t="s">
        <v>80</v>
      </c>
      <c r="K65" s="1">
        <v>-27402086</v>
      </c>
    </row>
    <row r="66" spans="1:11" x14ac:dyDescent="0.2">
      <c r="G66" s="1" t="s">
        <v>81</v>
      </c>
      <c r="I66" s="31"/>
      <c r="K66" s="30">
        <f>SUM(K64:K65)</f>
        <v>18557.247000001371</v>
      </c>
    </row>
    <row r="67" spans="1:11" x14ac:dyDescent="0.2">
      <c r="I67" s="31"/>
      <c r="K67" s="1"/>
    </row>
    <row r="68" spans="1:11" ht="18" x14ac:dyDescent="0.25">
      <c r="A68" s="8" t="s">
        <v>120</v>
      </c>
      <c r="B68" s="9"/>
      <c r="C68" s="9"/>
      <c r="D68" s="9"/>
      <c r="E68" s="9"/>
      <c r="F68" s="9"/>
      <c r="G68" s="10"/>
      <c r="H68" s="10"/>
      <c r="I68" s="10"/>
      <c r="J68" s="9"/>
      <c r="K68" s="9"/>
    </row>
    <row r="69" spans="1:11" ht="18" x14ac:dyDescent="0.25">
      <c r="A69" s="8" t="str">
        <f>+A2</f>
        <v>Calculation of FINAL REVISION for 2005-06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2" spans="1:11" x14ac:dyDescent="0.2">
      <c r="A72" s="16" t="str">
        <f>+A3</f>
        <v>h:/2005-06 budget/Proposed - state aid</v>
      </c>
    </row>
    <row r="75" spans="1:11" x14ac:dyDescent="0.2">
      <c r="A75" s="4" t="s">
        <v>34</v>
      </c>
      <c r="B75" s="4" t="s">
        <v>35</v>
      </c>
    </row>
    <row r="77" spans="1:11" x14ac:dyDescent="0.2">
      <c r="C77" t="s">
        <v>36</v>
      </c>
      <c r="I77" s="1">
        <v>5630.02</v>
      </c>
    </row>
    <row r="79" spans="1:11" x14ac:dyDescent="0.2">
      <c r="C79" t="s">
        <v>3</v>
      </c>
      <c r="G79" s="24">
        <f>+G9</f>
        <v>931498451</v>
      </c>
    </row>
    <row r="80" spans="1:11" x14ac:dyDescent="0.2">
      <c r="C80" t="s">
        <v>4</v>
      </c>
      <c r="G80" s="1">
        <f>+G79/1000*18</f>
        <v>16766972.118000001</v>
      </c>
    </row>
    <row r="82" spans="1:11" x14ac:dyDescent="0.2">
      <c r="C82" t="s">
        <v>37</v>
      </c>
    </row>
    <row r="83" spans="1:11" x14ac:dyDescent="0.2">
      <c r="C83" t="s">
        <v>6</v>
      </c>
      <c r="G83" s="3">
        <f>+G13+G30</f>
        <v>6005.9000000000005</v>
      </c>
    </row>
    <row r="85" spans="1:11" x14ac:dyDescent="0.2">
      <c r="C85" t="s">
        <v>7</v>
      </c>
      <c r="I85" s="3">
        <f>+G80/G83</f>
        <v>2791.7501320368301</v>
      </c>
    </row>
    <row r="87" spans="1:11" x14ac:dyDescent="0.2">
      <c r="C87" t="s">
        <v>38</v>
      </c>
      <c r="I87" s="1">
        <f>ROUND(+I77-I85,2)</f>
        <v>2838.27</v>
      </c>
    </row>
    <row r="89" spans="1:11" x14ac:dyDescent="0.2">
      <c r="C89" t="s">
        <v>39</v>
      </c>
      <c r="I89" s="3">
        <f>+G83</f>
        <v>6005.9000000000005</v>
      </c>
    </row>
    <row r="92" spans="1:11" x14ac:dyDescent="0.2">
      <c r="B92" s="4" t="s">
        <v>40</v>
      </c>
      <c r="K92" s="1">
        <f>+I87*I89</f>
        <v>17046365.793000001</v>
      </c>
    </row>
    <row r="95" spans="1:11" x14ac:dyDescent="0.2">
      <c r="A95" s="4" t="s">
        <v>41</v>
      </c>
      <c r="B95" s="4" t="s">
        <v>42</v>
      </c>
    </row>
    <row r="97" spans="1:11" x14ac:dyDescent="0.2">
      <c r="C97" t="s">
        <v>21</v>
      </c>
      <c r="G97" s="1">
        <f>+G43</f>
        <v>5041319</v>
      </c>
    </row>
    <row r="99" spans="1:11" x14ac:dyDescent="0.2">
      <c r="C99" t="s">
        <v>22</v>
      </c>
      <c r="I99" s="1">
        <f>ROUND(+G97*0.286138,2)</f>
        <v>1442512.94</v>
      </c>
    </row>
    <row r="101" spans="1:11" x14ac:dyDescent="0.2">
      <c r="C101" t="s">
        <v>23</v>
      </c>
      <c r="G101" s="1">
        <f>+G47</f>
        <v>347232</v>
      </c>
    </row>
    <row r="103" spans="1:11" x14ac:dyDescent="0.2">
      <c r="C103" t="s">
        <v>24</v>
      </c>
      <c r="I103" s="3">
        <f>ROUND(+G101*0.704165,0)</f>
        <v>244509</v>
      </c>
    </row>
    <row r="105" spans="1:11" x14ac:dyDescent="0.2">
      <c r="B105" s="4" t="s">
        <v>43</v>
      </c>
      <c r="K105" s="1">
        <f>+I99+I103</f>
        <v>1687021.94</v>
      </c>
    </row>
    <row r="106" spans="1:11" x14ac:dyDescent="0.2">
      <c r="K106" s="15"/>
    </row>
    <row r="107" spans="1:11" x14ac:dyDescent="0.2">
      <c r="K107" s="1"/>
    </row>
    <row r="108" spans="1:11" x14ac:dyDescent="0.2">
      <c r="A108" s="4" t="s">
        <v>44</v>
      </c>
      <c r="B108" s="4" t="s">
        <v>45</v>
      </c>
    </row>
    <row r="110" spans="1:11" x14ac:dyDescent="0.2">
      <c r="C110" t="s">
        <v>33</v>
      </c>
      <c r="I110" s="1">
        <f>+K64</f>
        <v>27420643.247000001</v>
      </c>
    </row>
    <row r="112" spans="1:11" x14ac:dyDescent="0.2">
      <c r="C112" t="s">
        <v>46</v>
      </c>
      <c r="I112" s="1">
        <f>-K92</f>
        <v>-17046365.793000001</v>
      </c>
    </row>
    <row r="114" spans="1:11" x14ac:dyDescent="0.2">
      <c r="C114" t="s">
        <v>47</v>
      </c>
      <c r="I114" s="3">
        <f>-K105</f>
        <v>-1687021.94</v>
      </c>
    </row>
    <row r="115" spans="1:11" x14ac:dyDescent="0.2">
      <c r="K115" s="15"/>
    </row>
    <row r="116" spans="1:11" x14ac:dyDescent="0.2">
      <c r="B116" s="4" t="s">
        <v>48</v>
      </c>
      <c r="K116" s="3">
        <f>+I110+I112+I114</f>
        <v>8687255.5140000004</v>
      </c>
    </row>
    <row r="120" spans="1:11" s="6" customFormat="1" ht="16.5" thickBot="1" x14ac:dyDescent="0.3">
      <c r="A120" s="5" t="s">
        <v>33</v>
      </c>
      <c r="G120" s="7"/>
      <c r="H120" s="7"/>
      <c r="I120" s="7"/>
      <c r="K120" s="18">
        <f>SUM(K92:K116)</f>
        <v>27420643.247000001</v>
      </c>
    </row>
    <row r="121" spans="1:11" ht="13.5" thickTop="1" x14ac:dyDescent="0.2"/>
    <row r="122" spans="1:11" x14ac:dyDescent="0.2">
      <c r="K122" s="15"/>
    </row>
    <row r="123" spans="1:11" x14ac:dyDescent="0.2">
      <c r="I123" s="25"/>
      <c r="J123" s="26"/>
      <c r="K123" s="27"/>
    </row>
    <row r="124" spans="1:11" x14ac:dyDescent="0.2">
      <c r="K124" s="15"/>
    </row>
  </sheetData>
  <phoneticPr fontId="0" type="noConversion"/>
  <pageMargins left="0.75" right="0.75" top="0.75" bottom="0.75" header="0.5" footer="0.5"/>
  <pageSetup scale="4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100" workbookViewId="0">
      <selection activeCell="A69" sqref="A69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72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82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66</v>
      </c>
      <c r="I7" s="20">
        <v>7306</v>
      </c>
    </row>
    <row r="8" spans="1:11" x14ac:dyDescent="0.2">
      <c r="A8" s="2"/>
    </row>
    <row r="9" spans="1:11" x14ac:dyDescent="0.2">
      <c r="A9" s="2"/>
      <c r="C9" t="s">
        <v>3</v>
      </c>
      <c r="G9" s="22">
        <v>920355917</v>
      </c>
    </row>
    <row r="10" spans="1:11" x14ac:dyDescent="0.2">
      <c r="A10" s="2"/>
      <c r="C10" t="s">
        <v>4</v>
      </c>
      <c r="G10" s="23">
        <f>+G9/1000*18</f>
        <v>16566406.506000001</v>
      </c>
      <c r="J10" s="33" t="s">
        <v>68</v>
      </c>
      <c r="K10" s="32">
        <v>16683200</v>
      </c>
    </row>
    <row r="11" spans="1:11" x14ac:dyDescent="0.2">
      <c r="A11" s="2"/>
      <c r="J11" s="33" t="s">
        <v>69</v>
      </c>
      <c r="K11" s="32">
        <f>+G10-K10</f>
        <v>-116793.49399999902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5826.35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2843.3593083148112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4462.6400000000003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5826.35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26000902.564000003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74</v>
      </c>
      <c r="I24" s="21">
        <v>-66738.289999999994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25934164.274000004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179.55</v>
      </c>
    </row>
    <row r="31" spans="1:11" x14ac:dyDescent="0.2">
      <c r="A31" s="2"/>
    </row>
    <row r="32" spans="1:11" x14ac:dyDescent="0.2">
      <c r="A32" s="2"/>
      <c r="C32" t="s">
        <v>63</v>
      </c>
      <c r="G32" s="3">
        <f>+I7</f>
        <v>7306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1311792.3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-4846.33</v>
      </c>
      <c r="H37" s="1" t="str">
        <f>+G24</f>
        <v>Feb 06 status rep</v>
      </c>
    </row>
    <row r="38" spans="1:11" x14ac:dyDescent="0.2">
      <c r="A38" s="2"/>
    </row>
    <row r="39" spans="1:11" x14ac:dyDescent="0.2">
      <c r="A39" s="2"/>
      <c r="B39" s="4" t="s">
        <v>18</v>
      </c>
      <c r="G39" s="25"/>
      <c r="J39" t="s">
        <v>13</v>
      </c>
      <c r="K39" s="1">
        <f>+G34+G37</f>
        <v>1306945.97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  <c r="G41" s="25"/>
    </row>
    <row r="42" spans="1:11" x14ac:dyDescent="0.2">
      <c r="A42" s="2"/>
      <c r="G42" s="25"/>
    </row>
    <row r="43" spans="1:11" x14ac:dyDescent="0.2">
      <c r="A43" s="2"/>
      <c r="C43" t="s">
        <v>21</v>
      </c>
      <c r="G43" s="20">
        <v>5440120</v>
      </c>
      <c r="H43" s="1" t="s">
        <v>83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1556625.06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396993</v>
      </c>
      <c r="H47" s="1" t="s">
        <v>83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279549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-1306945.97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529228.09000000008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529228.09000000008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7306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27770338.334000003</v>
      </c>
    </row>
    <row r="65" spans="1:11" ht="13.5" thickTop="1" x14ac:dyDescent="0.2">
      <c r="G65" s="1" t="s">
        <v>80</v>
      </c>
      <c r="K65" s="1">
        <f>-17246902.79-1668465.36-8687261.48</f>
        <v>-27602629.629999999</v>
      </c>
    </row>
    <row r="66" spans="1:11" x14ac:dyDescent="0.2">
      <c r="G66" s="34" t="s">
        <v>81</v>
      </c>
      <c r="H66" s="34"/>
      <c r="I66" s="35"/>
      <c r="J66" s="36"/>
      <c r="K66" s="37">
        <f>SUM(K64:K65)</f>
        <v>167708.70400000364</v>
      </c>
    </row>
    <row r="67" spans="1:11" x14ac:dyDescent="0.2">
      <c r="I67" s="31"/>
      <c r="K67" s="1"/>
    </row>
    <row r="68" spans="1:11" ht="18" x14ac:dyDescent="0.25">
      <c r="A68" s="8" t="s">
        <v>120</v>
      </c>
      <c r="B68" s="9"/>
      <c r="C68" s="9"/>
      <c r="D68" s="9"/>
      <c r="E68" s="9"/>
      <c r="F68" s="9"/>
      <c r="G68" s="10"/>
      <c r="H68" s="10"/>
      <c r="I68" s="10"/>
      <c r="J68" s="9"/>
      <c r="K68" s="9"/>
    </row>
    <row r="69" spans="1:11" ht="18" x14ac:dyDescent="0.25">
      <c r="A69" s="8" t="str">
        <f>+A2</f>
        <v>Calculation of FINAL REVISION for 2005-06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2" spans="1:11" x14ac:dyDescent="0.2">
      <c r="A72" s="16">
        <f>+A3</f>
        <v>0</v>
      </c>
    </row>
    <row r="75" spans="1:11" x14ac:dyDescent="0.2">
      <c r="A75" s="4" t="s">
        <v>34</v>
      </c>
      <c r="B75" s="4" t="s">
        <v>35</v>
      </c>
    </row>
    <row r="77" spans="1:11" x14ac:dyDescent="0.2">
      <c r="C77" t="s">
        <v>36</v>
      </c>
      <c r="I77" s="1">
        <v>5630.02</v>
      </c>
    </row>
    <row r="79" spans="1:11" x14ac:dyDescent="0.2">
      <c r="C79" t="s">
        <v>3</v>
      </c>
      <c r="G79" s="24">
        <f>+G9</f>
        <v>920355917</v>
      </c>
    </row>
    <row r="80" spans="1:11" x14ac:dyDescent="0.2">
      <c r="C80" t="s">
        <v>4</v>
      </c>
      <c r="G80" s="1">
        <f>+G79/1000*18</f>
        <v>16566406.506000001</v>
      </c>
    </row>
    <row r="82" spans="1:11" x14ac:dyDescent="0.2">
      <c r="C82" t="s">
        <v>37</v>
      </c>
    </row>
    <row r="83" spans="1:11" x14ac:dyDescent="0.2">
      <c r="C83" t="s">
        <v>6</v>
      </c>
      <c r="G83" s="3">
        <f>+G13+G30</f>
        <v>6005.9000000000005</v>
      </c>
    </row>
    <row r="85" spans="1:11" x14ac:dyDescent="0.2">
      <c r="C85" t="s">
        <v>7</v>
      </c>
      <c r="I85" s="3">
        <f>+G80/G83</f>
        <v>2758.3553682212491</v>
      </c>
    </row>
    <row r="87" spans="1:11" x14ac:dyDescent="0.2">
      <c r="C87" t="s">
        <v>38</v>
      </c>
      <c r="I87" s="1">
        <f>ROUND(+I77-I85,2)</f>
        <v>2871.66</v>
      </c>
    </row>
    <row r="89" spans="1:11" x14ac:dyDescent="0.2">
      <c r="C89" t="s">
        <v>39</v>
      </c>
      <c r="I89" s="3">
        <f>+G83</f>
        <v>6005.9000000000005</v>
      </c>
    </row>
    <row r="92" spans="1:11" x14ac:dyDescent="0.2">
      <c r="B92" s="4" t="s">
        <v>40</v>
      </c>
      <c r="K92" s="1">
        <f>+I87*I89</f>
        <v>17246902.794</v>
      </c>
    </row>
    <row r="95" spans="1:11" x14ac:dyDescent="0.2">
      <c r="A95" s="4" t="s">
        <v>41</v>
      </c>
      <c r="B95" s="4" t="s">
        <v>42</v>
      </c>
    </row>
    <row r="97" spans="1:11" x14ac:dyDescent="0.2">
      <c r="C97" t="s">
        <v>21</v>
      </c>
      <c r="G97" s="1">
        <f>+G43</f>
        <v>5440120</v>
      </c>
    </row>
    <row r="99" spans="1:11" x14ac:dyDescent="0.2">
      <c r="C99" t="s">
        <v>22</v>
      </c>
      <c r="I99" s="1">
        <f>ROUND(+G97*0.286138,2)</f>
        <v>1556625.06</v>
      </c>
    </row>
    <row r="101" spans="1:11" x14ac:dyDescent="0.2">
      <c r="C101" t="s">
        <v>23</v>
      </c>
      <c r="G101" s="1">
        <f>+G47</f>
        <v>396993</v>
      </c>
    </row>
    <row r="103" spans="1:11" x14ac:dyDescent="0.2">
      <c r="C103" t="s">
        <v>24</v>
      </c>
      <c r="I103" s="3">
        <f>ROUND(+G101*0.704165,0)</f>
        <v>279549</v>
      </c>
    </row>
    <row r="105" spans="1:11" x14ac:dyDescent="0.2">
      <c r="B105" s="4" t="s">
        <v>43</v>
      </c>
      <c r="K105" s="1">
        <f>+I99+I103</f>
        <v>1836174.06</v>
      </c>
    </row>
    <row r="106" spans="1:11" x14ac:dyDescent="0.2">
      <c r="K106" s="15"/>
    </row>
    <row r="107" spans="1:11" x14ac:dyDescent="0.2">
      <c r="K107" s="1"/>
    </row>
    <row r="108" spans="1:11" x14ac:dyDescent="0.2">
      <c r="A108" s="4" t="s">
        <v>44</v>
      </c>
      <c r="B108" s="4" t="s">
        <v>45</v>
      </c>
    </row>
    <row r="110" spans="1:11" x14ac:dyDescent="0.2">
      <c r="C110" t="s">
        <v>33</v>
      </c>
      <c r="I110" s="1">
        <f>+K64</f>
        <v>27770338.334000003</v>
      </c>
    </row>
    <row r="112" spans="1:11" x14ac:dyDescent="0.2">
      <c r="C112" t="s">
        <v>46</v>
      </c>
      <c r="I112" s="1">
        <f>-K92</f>
        <v>-17246902.794</v>
      </c>
    </row>
    <row r="114" spans="1:11" x14ac:dyDescent="0.2">
      <c r="C114" t="s">
        <v>47</v>
      </c>
      <c r="I114" s="3">
        <f>-K105</f>
        <v>-1836174.06</v>
      </c>
    </row>
    <row r="115" spans="1:11" x14ac:dyDescent="0.2">
      <c r="K115" s="15"/>
    </row>
    <row r="116" spans="1:11" x14ac:dyDescent="0.2">
      <c r="B116" s="4" t="s">
        <v>48</v>
      </c>
      <c r="K116" s="3">
        <f>+I110+I112+I114</f>
        <v>8687261.4800000023</v>
      </c>
    </row>
    <row r="120" spans="1:11" s="6" customFormat="1" ht="16.5" thickBot="1" x14ac:dyDescent="0.3">
      <c r="A120" s="5" t="s">
        <v>33</v>
      </c>
      <c r="G120" s="7"/>
      <c r="H120" s="7"/>
      <c r="I120" s="7"/>
      <c r="K120" s="18">
        <f>SUM(K92:K116)</f>
        <v>27770338.333999999</v>
      </c>
    </row>
    <row r="121" spans="1:11" ht="13.5" thickTop="1" x14ac:dyDescent="0.2"/>
    <row r="122" spans="1:11" x14ac:dyDescent="0.2">
      <c r="K122" s="15"/>
    </row>
    <row r="123" spans="1:11" x14ac:dyDescent="0.2">
      <c r="I123" s="25"/>
      <c r="J123" s="26"/>
      <c r="K123" s="27"/>
    </row>
    <row r="124" spans="1:11" x14ac:dyDescent="0.2">
      <c r="K124" s="15"/>
    </row>
  </sheetData>
  <phoneticPr fontId="0" type="noConversion"/>
  <pageMargins left="0.25" right="0.25" top="0.25" bottom="0.25" header="0.5" footer="0.5"/>
  <pageSetup scale="4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100" workbookViewId="0">
      <selection activeCell="A68" sqref="A68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75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76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66</v>
      </c>
      <c r="I7" s="20">
        <f>7306+200</f>
        <v>7506</v>
      </c>
    </row>
    <row r="8" spans="1:11" x14ac:dyDescent="0.2">
      <c r="A8" s="2"/>
    </row>
    <row r="9" spans="1:11" x14ac:dyDescent="0.2">
      <c r="A9" s="2"/>
      <c r="C9" t="s">
        <v>3</v>
      </c>
      <c r="G9" s="22">
        <f>931498451*1.04</f>
        <v>968758389.04000008</v>
      </c>
    </row>
    <row r="10" spans="1:11" x14ac:dyDescent="0.2">
      <c r="A10" s="2"/>
      <c r="C10" t="s">
        <v>4</v>
      </c>
      <c r="G10" s="23">
        <f>+G9/1000*18</f>
        <v>17437651.002720002</v>
      </c>
      <c r="J10" s="33" t="s">
        <v>68</v>
      </c>
      <c r="K10" s="32">
        <v>17350500</v>
      </c>
    </row>
    <row r="11" spans="1:11" x14ac:dyDescent="0.2">
      <c r="A11" s="2"/>
      <c r="J11" s="33" t="s">
        <v>69</v>
      </c>
      <c r="K11" s="32">
        <f>+G10-K10</f>
        <v>87151.002720002085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f>5826.35-30</f>
        <v>5796.35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3008.3847598436951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4497.62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5796.35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26069779.687000003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74</v>
      </c>
      <c r="I24" s="21">
        <v>-66738.289999999994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26003041.397000004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179.55</v>
      </c>
    </row>
    <row r="31" spans="1:11" x14ac:dyDescent="0.2">
      <c r="A31" s="2"/>
    </row>
    <row r="32" spans="1:11" x14ac:dyDescent="0.2">
      <c r="A32" s="2"/>
      <c r="C32" t="s">
        <v>63</v>
      </c>
      <c r="G32" s="3">
        <f>+I7</f>
        <v>7506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1347702.3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-4846.33</v>
      </c>
      <c r="H37" s="1" t="str">
        <f>+G24</f>
        <v>Feb 06 status rep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1342855.97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v>5224147</v>
      </c>
      <c r="H43" s="1" t="s">
        <v>77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1494826.97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347232</v>
      </c>
      <c r="H47" s="1" t="s">
        <v>70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244509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-1342855.97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396480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396480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7506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27742377.367000002</v>
      </c>
    </row>
    <row r="65" spans="1:11" ht="13.5" thickTop="1" x14ac:dyDescent="0.2">
      <c r="C65" t="s">
        <v>71</v>
      </c>
      <c r="K65" s="1">
        <f>+G10-K11</f>
        <v>17350500</v>
      </c>
    </row>
    <row r="66" spans="1:11" x14ac:dyDescent="0.2">
      <c r="A66" s="4" t="s">
        <v>67</v>
      </c>
      <c r="I66" s="31"/>
      <c r="K66" s="30">
        <f>SUM(K64:K65)</f>
        <v>45092877.366999999</v>
      </c>
    </row>
    <row r="67" spans="1:11" x14ac:dyDescent="0.2">
      <c r="I67" s="31"/>
      <c r="K67" s="1"/>
    </row>
    <row r="68" spans="1:11" ht="18" x14ac:dyDescent="0.25">
      <c r="A68" s="8" t="s">
        <v>120</v>
      </c>
      <c r="B68" s="9"/>
      <c r="C68" s="9"/>
      <c r="D68" s="9"/>
      <c r="E68" s="9"/>
      <c r="F68" s="9"/>
      <c r="G68" s="10"/>
      <c r="H68" s="10"/>
      <c r="I68" s="10"/>
      <c r="J68" s="9"/>
      <c r="K68" s="9"/>
    </row>
    <row r="69" spans="1:11" ht="18" x14ac:dyDescent="0.25">
      <c r="A69" s="8" t="str">
        <f>+A2</f>
        <v>Calculation of PROPOSED REVISION for 2006-07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2" spans="1:11" x14ac:dyDescent="0.2">
      <c r="A72" s="16">
        <f>+A3</f>
        <v>0</v>
      </c>
    </row>
    <row r="75" spans="1:11" x14ac:dyDescent="0.2">
      <c r="A75" s="4" t="s">
        <v>34</v>
      </c>
      <c r="B75" s="4" t="s">
        <v>35</v>
      </c>
    </row>
    <row r="77" spans="1:11" x14ac:dyDescent="0.2">
      <c r="C77" t="s">
        <v>36</v>
      </c>
      <c r="I77" s="1">
        <v>5630.02</v>
      </c>
    </row>
    <row r="79" spans="1:11" x14ac:dyDescent="0.2">
      <c r="C79" t="s">
        <v>3</v>
      </c>
      <c r="G79" s="24">
        <f>+G9</f>
        <v>968758389.04000008</v>
      </c>
    </row>
    <row r="80" spans="1:11" x14ac:dyDescent="0.2">
      <c r="C80" t="s">
        <v>4</v>
      </c>
      <c r="G80" s="1">
        <f>+G79/1000*18</f>
        <v>17437651.002720002</v>
      </c>
    </row>
    <row r="82" spans="1:11" x14ac:dyDescent="0.2">
      <c r="C82" t="s">
        <v>37</v>
      </c>
    </row>
    <row r="83" spans="1:11" x14ac:dyDescent="0.2">
      <c r="C83" t="s">
        <v>6</v>
      </c>
      <c r="G83" s="3">
        <f>+G13+G30</f>
        <v>5975.9000000000005</v>
      </c>
    </row>
    <row r="85" spans="1:11" x14ac:dyDescent="0.2">
      <c r="C85" t="s">
        <v>7</v>
      </c>
      <c r="I85" s="3">
        <f>+G80/G83</f>
        <v>2917.9957835171272</v>
      </c>
    </row>
    <row r="87" spans="1:11" x14ac:dyDescent="0.2">
      <c r="C87" t="s">
        <v>38</v>
      </c>
      <c r="I87" s="1">
        <f>ROUND(+I77-I85,2)</f>
        <v>2712.02</v>
      </c>
    </row>
    <row r="89" spans="1:11" x14ac:dyDescent="0.2">
      <c r="C89" t="s">
        <v>39</v>
      </c>
      <c r="I89" s="3">
        <f>+G83</f>
        <v>5975.9000000000005</v>
      </c>
    </row>
    <row r="92" spans="1:11" x14ac:dyDescent="0.2">
      <c r="B92" s="4" t="s">
        <v>40</v>
      </c>
      <c r="K92" s="1">
        <f>+I87*I89</f>
        <v>16206760.318000002</v>
      </c>
    </row>
    <row r="95" spans="1:11" x14ac:dyDescent="0.2">
      <c r="A95" s="4" t="s">
        <v>41</v>
      </c>
      <c r="B95" s="4" t="s">
        <v>42</v>
      </c>
    </row>
    <row r="97" spans="1:11" x14ac:dyDescent="0.2">
      <c r="C97" t="s">
        <v>21</v>
      </c>
      <c r="G97" s="1">
        <f>+G43</f>
        <v>5224147</v>
      </c>
    </row>
    <row r="99" spans="1:11" x14ac:dyDescent="0.2">
      <c r="C99" t="s">
        <v>22</v>
      </c>
      <c r="I99" s="1">
        <f>ROUND(+G97*0.286138,2)</f>
        <v>1494826.97</v>
      </c>
    </row>
    <row r="101" spans="1:11" x14ac:dyDescent="0.2">
      <c r="C101" t="s">
        <v>23</v>
      </c>
      <c r="G101" s="1">
        <f>+G47</f>
        <v>347232</v>
      </c>
    </row>
    <row r="103" spans="1:11" x14ac:dyDescent="0.2">
      <c r="C103" t="s">
        <v>24</v>
      </c>
      <c r="I103" s="3">
        <f>ROUND(+G101*0.704165,0)</f>
        <v>244509</v>
      </c>
    </row>
    <row r="105" spans="1:11" x14ac:dyDescent="0.2">
      <c r="B105" s="4" t="s">
        <v>43</v>
      </c>
      <c r="K105" s="1">
        <f>+I99+I103</f>
        <v>1739335.97</v>
      </c>
    </row>
    <row r="106" spans="1:11" x14ac:dyDescent="0.2">
      <c r="K106" s="15"/>
    </row>
    <row r="107" spans="1:11" x14ac:dyDescent="0.2">
      <c r="K107" s="1"/>
    </row>
    <row r="108" spans="1:11" x14ac:dyDescent="0.2">
      <c r="A108" s="4" t="s">
        <v>44</v>
      </c>
      <c r="B108" s="4" t="s">
        <v>45</v>
      </c>
    </row>
    <row r="110" spans="1:11" x14ac:dyDescent="0.2">
      <c r="C110" t="s">
        <v>33</v>
      </c>
      <c r="I110" s="1">
        <f>+K64</f>
        <v>27742377.367000002</v>
      </c>
    </row>
    <row r="112" spans="1:11" x14ac:dyDescent="0.2">
      <c r="C112" t="s">
        <v>46</v>
      </c>
      <c r="I112" s="1">
        <f>-K92</f>
        <v>-16206760.318000002</v>
      </c>
    </row>
    <row r="114" spans="1:11" x14ac:dyDescent="0.2">
      <c r="C114" t="s">
        <v>47</v>
      </c>
      <c r="I114" s="3">
        <f>-K105</f>
        <v>-1739335.97</v>
      </c>
    </row>
    <row r="115" spans="1:11" x14ac:dyDescent="0.2">
      <c r="K115" s="15"/>
    </row>
    <row r="116" spans="1:11" x14ac:dyDescent="0.2">
      <c r="B116" s="4" t="s">
        <v>48</v>
      </c>
      <c r="K116" s="3">
        <f>+I110+I112+I114</f>
        <v>9796281.0789999999</v>
      </c>
    </row>
    <row r="120" spans="1:11" s="6" customFormat="1" ht="16.5" thickBot="1" x14ac:dyDescent="0.3">
      <c r="A120" s="5" t="s">
        <v>33</v>
      </c>
      <c r="G120" s="7"/>
      <c r="H120" s="7"/>
      <c r="I120" s="7"/>
      <c r="K120" s="18">
        <f>SUM(K92:K116)</f>
        <v>27742377.367000002</v>
      </c>
    </row>
    <row r="121" spans="1:11" ht="13.5" thickTop="1" x14ac:dyDescent="0.2"/>
    <row r="122" spans="1:11" x14ac:dyDescent="0.2">
      <c r="K122" s="15"/>
    </row>
    <row r="123" spans="1:11" x14ac:dyDescent="0.2">
      <c r="I123" s="25"/>
      <c r="J123" s="26"/>
      <c r="K123" s="27"/>
    </row>
    <row r="124" spans="1:11" x14ac:dyDescent="0.2">
      <c r="K124" s="15"/>
    </row>
  </sheetData>
  <phoneticPr fontId="0" type="noConversion"/>
  <pageMargins left="0.5" right="0.5" top="0.5" bottom="0.5" header="0.5" footer="0.5"/>
  <pageSetup scale="4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109" workbookViewId="0">
      <selection activeCell="A69" sqref="A69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84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85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66</v>
      </c>
      <c r="I7" s="20">
        <v>7516</v>
      </c>
    </row>
    <row r="8" spans="1:11" x14ac:dyDescent="0.2">
      <c r="A8" s="2"/>
    </row>
    <row r="9" spans="1:11" x14ac:dyDescent="0.2">
      <c r="A9" s="2"/>
      <c r="C9" t="s">
        <v>3</v>
      </c>
      <c r="G9" s="22">
        <v>990885249</v>
      </c>
    </row>
    <row r="10" spans="1:11" x14ac:dyDescent="0.2">
      <c r="A10" s="2"/>
      <c r="C10" t="s">
        <v>4</v>
      </c>
      <c r="G10" s="23">
        <f>+G9/1000*18</f>
        <v>17835934.482000001</v>
      </c>
      <c r="J10" s="33" t="s">
        <v>68</v>
      </c>
      <c r="K10" s="32">
        <f>+G10-K11</f>
        <v>17746754.482000001</v>
      </c>
    </row>
    <row r="11" spans="1:11" x14ac:dyDescent="0.2">
      <c r="A11" s="2"/>
      <c r="J11" s="33" t="s">
        <v>69</v>
      </c>
      <c r="K11" s="32">
        <v>89180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5828.29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3060.2345597079075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4455.7700000000004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5828.29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25969519.733300004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74</v>
      </c>
      <c r="I24" s="21">
        <v>-66738.289999999994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25902781.443300005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185.3</v>
      </c>
    </row>
    <row r="31" spans="1:11" x14ac:dyDescent="0.2">
      <c r="A31" s="2"/>
    </row>
    <row r="32" spans="1:11" x14ac:dyDescent="0.2">
      <c r="A32" s="2"/>
      <c r="C32" t="s">
        <v>86</v>
      </c>
      <c r="G32" s="3">
        <f>+I7</f>
        <v>7516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1392714.8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-4846.33</v>
      </c>
      <c r="H37" s="1" t="str">
        <f>+G24</f>
        <v>Feb 06 status rep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1387868.47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v>5440120</v>
      </c>
      <c r="H43" s="1" t="s">
        <v>83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1556625.06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396993</v>
      </c>
      <c r="H47" s="1" t="s">
        <v>83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279549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-1387868.47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448305.59000000008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448305.59000000008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7516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27738955.503300004</v>
      </c>
    </row>
    <row r="65" spans="1:11" ht="13.5" thickTop="1" x14ac:dyDescent="0.2">
      <c r="C65" t="s">
        <v>71</v>
      </c>
      <c r="K65" s="1">
        <f>+G10-K11</f>
        <v>17746754.482000001</v>
      </c>
    </row>
    <row r="66" spans="1:11" x14ac:dyDescent="0.2">
      <c r="A66" s="4" t="s">
        <v>67</v>
      </c>
      <c r="I66" s="31"/>
      <c r="K66" s="30">
        <f>SUM(K64:K65)</f>
        <v>45485709.985300004</v>
      </c>
    </row>
    <row r="67" spans="1:11" x14ac:dyDescent="0.2">
      <c r="I67" s="31"/>
      <c r="K67" s="1"/>
    </row>
    <row r="68" spans="1:11" ht="18" x14ac:dyDescent="0.25">
      <c r="A68" s="8" t="s">
        <v>120</v>
      </c>
      <c r="B68" s="9"/>
      <c r="C68" s="9"/>
      <c r="D68" s="9"/>
      <c r="E68" s="9"/>
      <c r="F68" s="9"/>
      <c r="G68" s="10"/>
      <c r="H68" s="10"/>
      <c r="I68" s="10"/>
      <c r="J68" s="9"/>
      <c r="K68" s="9"/>
    </row>
    <row r="69" spans="1:11" ht="18" x14ac:dyDescent="0.25">
      <c r="A69" s="8" t="str">
        <f>+A2</f>
        <v>Calculation of FIRST REVISION for 2006-07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2" spans="1:11" x14ac:dyDescent="0.2">
      <c r="A72" s="16">
        <f>+A3</f>
        <v>0</v>
      </c>
    </row>
    <row r="75" spans="1:11" x14ac:dyDescent="0.2">
      <c r="A75" s="4" t="s">
        <v>34</v>
      </c>
      <c r="B75" s="4" t="s">
        <v>35</v>
      </c>
    </row>
    <row r="77" spans="1:11" x14ac:dyDescent="0.2">
      <c r="C77" t="s">
        <v>36</v>
      </c>
      <c r="I77" s="1">
        <v>5630.02</v>
      </c>
    </row>
    <row r="79" spans="1:11" x14ac:dyDescent="0.2">
      <c r="C79" t="s">
        <v>3</v>
      </c>
      <c r="G79" s="24">
        <f>+G9</f>
        <v>990885249</v>
      </c>
    </row>
    <row r="80" spans="1:11" x14ac:dyDescent="0.2">
      <c r="C80" t="s">
        <v>4</v>
      </c>
      <c r="G80" s="1">
        <f>+G79/1000*18</f>
        <v>17835934.482000001</v>
      </c>
    </row>
    <row r="82" spans="1:11" x14ac:dyDescent="0.2">
      <c r="C82" t="s">
        <v>37</v>
      </c>
    </row>
    <row r="83" spans="1:11" x14ac:dyDescent="0.2">
      <c r="C83" t="s">
        <v>6</v>
      </c>
      <c r="G83" s="3">
        <f>+G13+G30</f>
        <v>6013.59</v>
      </c>
    </row>
    <row r="85" spans="1:11" x14ac:dyDescent="0.2">
      <c r="C85" t="s">
        <v>7</v>
      </c>
      <c r="I85" s="3">
        <f>+G80/G83</f>
        <v>2965.9378976617959</v>
      </c>
    </row>
    <row r="87" spans="1:11" x14ac:dyDescent="0.2">
      <c r="C87" t="s">
        <v>38</v>
      </c>
      <c r="I87" s="1">
        <f>ROUND(+I77-I85,2)</f>
        <v>2664.08</v>
      </c>
    </row>
    <row r="89" spans="1:11" x14ac:dyDescent="0.2">
      <c r="C89" t="s">
        <v>39</v>
      </c>
      <c r="I89" s="3">
        <f>+G83</f>
        <v>6013.59</v>
      </c>
    </row>
    <row r="92" spans="1:11" x14ac:dyDescent="0.2">
      <c r="B92" s="4" t="s">
        <v>40</v>
      </c>
      <c r="K92" s="1">
        <f>+I87*I89</f>
        <v>16020684.847200001</v>
      </c>
    </row>
    <row r="95" spans="1:11" x14ac:dyDescent="0.2">
      <c r="A95" s="4" t="s">
        <v>41</v>
      </c>
      <c r="B95" s="4" t="s">
        <v>42</v>
      </c>
    </row>
    <row r="97" spans="1:11" x14ac:dyDescent="0.2">
      <c r="C97" t="s">
        <v>21</v>
      </c>
      <c r="G97" s="1">
        <f>+G43</f>
        <v>5440120</v>
      </c>
    </row>
    <row r="99" spans="1:11" x14ac:dyDescent="0.2">
      <c r="C99" t="s">
        <v>22</v>
      </c>
      <c r="I99" s="1">
        <f>ROUND(+G97*0.286138,2)</f>
        <v>1556625.06</v>
      </c>
    </row>
    <row r="101" spans="1:11" x14ac:dyDescent="0.2">
      <c r="C101" t="s">
        <v>23</v>
      </c>
      <c r="G101" s="1">
        <f>+G47</f>
        <v>396993</v>
      </c>
    </row>
    <row r="103" spans="1:11" x14ac:dyDescent="0.2">
      <c r="C103" t="s">
        <v>24</v>
      </c>
      <c r="I103" s="3">
        <f>ROUND(+G101*0.704165,0)</f>
        <v>279549</v>
      </c>
    </row>
    <row r="105" spans="1:11" x14ac:dyDescent="0.2">
      <c r="B105" s="4" t="s">
        <v>43</v>
      </c>
      <c r="K105" s="1">
        <f>+I99+I103</f>
        <v>1836174.06</v>
      </c>
    </row>
    <row r="106" spans="1:11" x14ac:dyDescent="0.2">
      <c r="K106" s="15"/>
    </row>
    <row r="107" spans="1:11" x14ac:dyDescent="0.2">
      <c r="K107" s="1"/>
    </row>
    <row r="108" spans="1:11" x14ac:dyDescent="0.2">
      <c r="A108" s="4" t="s">
        <v>44</v>
      </c>
      <c r="B108" s="4" t="s">
        <v>45</v>
      </c>
    </row>
    <row r="110" spans="1:11" x14ac:dyDescent="0.2">
      <c r="C110" t="s">
        <v>33</v>
      </c>
      <c r="I110" s="1">
        <f>+K64</f>
        <v>27738955.503300004</v>
      </c>
    </row>
    <row r="112" spans="1:11" x14ac:dyDescent="0.2">
      <c r="C112" t="s">
        <v>46</v>
      </c>
      <c r="I112" s="1">
        <f>-K92</f>
        <v>-16020684.847200001</v>
      </c>
    </row>
    <row r="114" spans="1:11" x14ac:dyDescent="0.2">
      <c r="C114" t="s">
        <v>47</v>
      </c>
      <c r="I114" s="3">
        <f>-K105</f>
        <v>-1836174.06</v>
      </c>
    </row>
    <row r="115" spans="1:11" x14ac:dyDescent="0.2">
      <c r="K115" s="15"/>
    </row>
    <row r="116" spans="1:11" x14ac:dyDescent="0.2">
      <c r="B116" s="4" t="s">
        <v>48</v>
      </c>
      <c r="K116" s="3">
        <f>+I110+I112+I114</f>
        <v>9882096.5961000025</v>
      </c>
    </row>
    <row r="120" spans="1:11" s="6" customFormat="1" ht="16.5" thickBot="1" x14ac:dyDescent="0.3">
      <c r="A120" s="5" t="s">
        <v>33</v>
      </c>
      <c r="G120" s="7"/>
      <c r="H120" s="7"/>
      <c r="I120" s="7"/>
      <c r="K120" s="18">
        <f>SUM(K92:K116)</f>
        <v>27738955.503300004</v>
      </c>
    </row>
    <row r="121" spans="1:11" ht="13.5" thickTop="1" x14ac:dyDescent="0.2"/>
    <row r="122" spans="1:11" x14ac:dyDescent="0.2">
      <c r="K122" s="15"/>
    </row>
    <row r="123" spans="1:11" x14ac:dyDescent="0.2">
      <c r="I123" s="25"/>
      <c r="J123" s="26"/>
      <c r="K123" s="27"/>
    </row>
    <row r="124" spans="1:11" x14ac:dyDescent="0.2">
      <c r="K124" s="15"/>
    </row>
  </sheetData>
  <phoneticPr fontId="0" type="noConversion"/>
  <pageMargins left="0.5" right="0.5" top="0.5" bottom="0.5" header="0.5" footer="0.5"/>
  <pageSetup scale="4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106" workbookViewId="0">
      <selection activeCell="A69" sqref="A69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87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85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66</v>
      </c>
      <c r="I7" s="20">
        <v>7516</v>
      </c>
    </row>
    <row r="8" spans="1:11" x14ac:dyDescent="0.2">
      <c r="A8" s="2"/>
    </row>
    <row r="9" spans="1:11" x14ac:dyDescent="0.2">
      <c r="A9" s="2"/>
      <c r="C9" t="s">
        <v>3</v>
      </c>
      <c r="G9" s="22">
        <v>990885249</v>
      </c>
    </row>
    <row r="10" spans="1:11" x14ac:dyDescent="0.2">
      <c r="A10" s="2"/>
      <c r="C10" t="s">
        <v>4</v>
      </c>
      <c r="G10" s="23">
        <f>+G9/1000*18</f>
        <v>17835934.482000001</v>
      </c>
      <c r="J10" s="33" t="s">
        <v>68</v>
      </c>
      <c r="K10" s="32">
        <f>+G10-K11</f>
        <v>17746754.482000001</v>
      </c>
    </row>
    <row r="11" spans="1:11" x14ac:dyDescent="0.2">
      <c r="A11" s="2"/>
      <c r="J11" s="33" t="s">
        <v>69</v>
      </c>
      <c r="K11" s="32">
        <v>89180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5827.54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3060.6284095862065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4455.37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5827.54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25963846.889800001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88</v>
      </c>
      <c r="I24" s="21">
        <v>-64889.3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25898957.5898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185.3</v>
      </c>
    </row>
    <row r="31" spans="1:11" x14ac:dyDescent="0.2">
      <c r="A31" s="2"/>
    </row>
    <row r="32" spans="1:11" x14ac:dyDescent="0.2">
      <c r="A32" s="2"/>
      <c r="C32" t="s">
        <v>86</v>
      </c>
      <c r="G32" s="3">
        <f>+I7</f>
        <v>7516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1392714.8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-6151.75</v>
      </c>
      <c r="H37" s="1" t="str">
        <f>+G24</f>
        <v>Jan 07 status rep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1386563.05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v>5436984</v>
      </c>
      <c r="H43" s="1" t="s">
        <v>83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1555727.73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396993</v>
      </c>
      <c r="H47" s="1" t="s">
        <v>83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279549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-1386563.05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448713.67999999993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448713.67999999993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7516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27734234.319800001</v>
      </c>
    </row>
    <row r="65" spans="1:11" ht="13.5" thickTop="1" x14ac:dyDescent="0.2">
      <c r="C65" t="s">
        <v>71</v>
      </c>
      <c r="K65" s="1">
        <f>+G10-K11</f>
        <v>17746754.482000001</v>
      </c>
    </row>
    <row r="66" spans="1:11" x14ac:dyDescent="0.2">
      <c r="A66" s="4" t="s">
        <v>67</v>
      </c>
      <c r="I66" s="31"/>
      <c r="K66" s="30">
        <f>SUM(K64:K65)</f>
        <v>45480988.801799998</v>
      </c>
    </row>
    <row r="67" spans="1:11" x14ac:dyDescent="0.2">
      <c r="I67" s="31"/>
      <c r="K67" s="1"/>
    </row>
    <row r="68" spans="1:11" ht="18" x14ac:dyDescent="0.25">
      <c r="A68" s="8" t="s">
        <v>120</v>
      </c>
      <c r="B68" s="9"/>
      <c r="C68" s="9"/>
      <c r="D68" s="9"/>
      <c r="E68" s="9"/>
      <c r="F68" s="9"/>
      <c r="G68" s="10"/>
      <c r="H68" s="10"/>
      <c r="I68" s="10"/>
      <c r="J68" s="9"/>
      <c r="K68" s="9"/>
    </row>
    <row r="69" spans="1:11" ht="18" x14ac:dyDescent="0.25">
      <c r="A69" s="8" t="str">
        <f>+A2</f>
        <v>Calculation of FINAL REVISION for 2006-07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2" spans="1:11" x14ac:dyDescent="0.2">
      <c r="A72" s="16">
        <f>+A3</f>
        <v>0</v>
      </c>
    </row>
    <row r="75" spans="1:11" x14ac:dyDescent="0.2">
      <c r="A75" s="4" t="s">
        <v>34</v>
      </c>
      <c r="B75" s="4" t="s">
        <v>35</v>
      </c>
    </row>
    <row r="77" spans="1:11" x14ac:dyDescent="0.2">
      <c r="C77" t="s">
        <v>36</v>
      </c>
      <c r="I77" s="1">
        <v>5630.02</v>
      </c>
    </row>
    <row r="79" spans="1:11" x14ac:dyDescent="0.2">
      <c r="C79" t="s">
        <v>3</v>
      </c>
      <c r="G79" s="24">
        <f>+G9</f>
        <v>990885249</v>
      </c>
    </row>
    <row r="80" spans="1:11" x14ac:dyDescent="0.2">
      <c r="C80" t="s">
        <v>4</v>
      </c>
      <c r="G80" s="1">
        <f>+G79/1000*18</f>
        <v>17835934.482000001</v>
      </c>
    </row>
    <row r="82" spans="1:11" x14ac:dyDescent="0.2">
      <c r="C82" t="s">
        <v>37</v>
      </c>
    </row>
    <row r="83" spans="1:11" x14ac:dyDescent="0.2">
      <c r="C83" t="s">
        <v>6</v>
      </c>
      <c r="G83" s="3">
        <f>+G13+G30</f>
        <v>6012.84</v>
      </c>
    </row>
    <row r="85" spans="1:11" x14ac:dyDescent="0.2">
      <c r="C85" t="s">
        <v>7</v>
      </c>
      <c r="I85" s="3">
        <f>+G80/G83</f>
        <v>2966.3078482048418</v>
      </c>
    </row>
    <row r="87" spans="1:11" x14ac:dyDescent="0.2">
      <c r="C87" t="s">
        <v>38</v>
      </c>
      <c r="I87" s="1">
        <f>ROUND(+I77-I85,2)</f>
        <v>2663.71</v>
      </c>
    </row>
    <row r="89" spans="1:11" x14ac:dyDescent="0.2">
      <c r="C89" t="s">
        <v>39</v>
      </c>
      <c r="I89" s="3">
        <f>+G83</f>
        <v>6012.84</v>
      </c>
    </row>
    <row r="92" spans="1:11" x14ac:dyDescent="0.2">
      <c r="B92" s="4" t="s">
        <v>40</v>
      </c>
      <c r="K92" s="1">
        <f>+I87*I89</f>
        <v>16016462.036400001</v>
      </c>
    </row>
    <row r="95" spans="1:11" x14ac:dyDescent="0.2">
      <c r="A95" s="4" t="s">
        <v>41</v>
      </c>
      <c r="B95" s="4" t="s">
        <v>42</v>
      </c>
    </row>
    <row r="97" spans="1:11" x14ac:dyDescent="0.2">
      <c r="C97" t="s">
        <v>21</v>
      </c>
      <c r="G97" s="1">
        <f>+G43</f>
        <v>5436984</v>
      </c>
    </row>
    <row r="99" spans="1:11" x14ac:dyDescent="0.2">
      <c r="C99" t="s">
        <v>22</v>
      </c>
      <c r="I99" s="1">
        <f>ROUND(+G97*0.286138,2)</f>
        <v>1555727.73</v>
      </c>
    </row>
    <row r="101" spans="1:11" x14ac:dyDescent="0.2">
      <c r="C101" t="s">
        <v>23</v>
      </c>
      <c r="G101" s="1">
        <f>+G47</f>
        <v>396993</v>
      </c>
    </row>
    <row r="103" spans="1:11" x14ac:dyDescent="0.2">
      <c r="C103" t="s">
        <v>24</v>
      </c>
      <c r="I103" s="3">
        <f>ROUND(+G101*0.704165,0)</f>
        <v>279549</v>
      </c>
    </row>
    <row r="105" spans="1:11" x14ac:dyDescent="0.2">
      <c r="B105" s="4" t="s">
        <v>43</v>
      </c>
      <c r="K105" s="1">
        <f>+I99+I103</f>
        <v>1835276.73</v>
      </c>
    </row>
    <row r="106" spans="1:11" x14ac:dyDescent="0.2">
      <c r="K106" s="15"/>
    </row>
    <row r="107" spans="1:11" x14ac:dyDescent="0.2">
      <c r="K107" s="1"/>
    </row>
    <row r="108" spans="1:11" x14ac:dyDescent="0.2">
      <c r="A108" s="4" t="s">
        <v>44</v>
      </c>
      <c r="B108" s="4" t="s">
        <v>45</v>
      </c>
    </row>
    <row r="110" spans="1:11" x14ac:dyDescent="0.2">
      <c r="C110" t="s">
        <v>33</v>
      </c>
      <c r="I110" s="1">
        <f>+K64</f>
        <v>27734234.319800001</v>
      </c>
    </row>
    <row r="112" spans="1:11" x14ac:dyDescent="0.2">
      <c r="C112" t="s">
        <v>46</v>
      </c>
      <c r="I112" s="1">
        <f>-K92</f>
        <v>-16016462.036400001</v>
      </c>
    </row>
    <row r="114" spans="1:11" x14ac:dyDescent="0.2">
      <c r="C114" t="s">
        <v>47</v>
      </c>
      <c r="I114" s="3">
        <f>-K105</f>
        <v>-1835276.73</v>
      </c>
    </row>
    <row r="115" spans="1:11" x14ac:dyDescent="0.2">
      <c r="K115" s="15"/>
    </row>
    <row r="116" spans="1:11" x14ac:dyDescent="0.2">
      <c r="B116" s="4" t="s">
        <v>48</v>
      </c>
      <c r="K116" s="3">
        <f>+I110+I112+I114</f>
        <v>9882495.5533999987</v>
      </c>
    </row>
    <row r="120" spans="1:11" s="6" customFormat="1" ht="16.5" thickBot="1" x14ac:dyDescent="0.3">
      <c r="A120" s="5" t="s">
        <v>33</v>
      </c>
      <c r="G120" s="7"/>
      <c r="H120" s="7"/>
      <c r="I120" s="7"/>
      <c r="K120" s="18">
        <f>SUM(K92:K116)</f>
        <v>27734234.319800001</v>
      </c>
    </row>
    <row r="121" spans="1:11" ht="13.5" thickTop="1" x14ac:dyDescent="0.2"/>
    <row r="122" spans="1:11" x14ac:dyDescent="0.2">
      <c r="K122" s="15"/>
    </row>
    <row r="123" spans="1:11" x14ac:dyDescent="0.2">
      <c r="I123" s="25"/>
      <c r="J123" s="26"/>
      <c r="K123" s="27"/>
    </row>
    <row r="124" spans="1:11" x14ac:dyDescent="0.2">
      <c r="K124" s="15"/>
    </row>
  </sheetData>
  <phoneticPr fontId="0" type="noConversion"/>
  <pageMargins left="0.75" right="0.75" top="0.25" bottom="0.5" header="0.5" footer="0.5"/>
  <pageSetup scale="4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100" workbookViewId="0">
      <selection activeCell="A69" sqref="A69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87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89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66</v>
      </c>
      <c r="I7" s="20">
        <v>7516</v>
      </c>
    </row>
    <row r="8" spans="1:11" x14ac:dyDescent="0.2">
      <c r="A8" s="2"/>
    </row>
    <row r="9" spans="1:11" x14ac:dyDescent="0.2">
      <c r="A9" s="2"/>
      <c r="C9" t="s">
        <v>3</v>
      </c>
      <c r="G9" s="22">
        <v>990885249</v>
      </c>
    </row>
    <row r="10" spans="1:11" x14ac:dyDescent="0.2">
      <c r="A10" s="2"/>
      <c r="C10" t="s">
        <v>4</v>
      </c>
      <c r="G10" s="23">
        <f>+G9/1000*18</f>
        <v>17835934.482000001</v>
      </c>
      <c r="J10" s="33" t="s">
        <v>68</v>
      </c>
      <c r="K10" s="32">
        <f>+G10-K11</f>
        <v>17746754.482000001</v>
      </c>
    </row>
    <row r="11" spans="1:11" x14ac:dyDescent="0.2">
      <c r="A11" s="2"/>
      <c r="J11" s="33" t="s">
        <v>69</v>
      </c>
      <c r="K11" s="32">
        <v>89180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5827.54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3060.6284095862065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4455.37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5827.54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25963846.889800001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88</v>
      </c>
      <c r="I24" s="21">
        <v>-64889.3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25898957.5898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185.3</v>
      </c>
    </row>
    <row r="31" spans="1:11" x14ac:dyDescent="0.2">
      <c r="A31" s="2"/>
    </row>
    <row r="32" spans="1:11" x14ac:dyDescent="0.2">
      <c r="A32" s="2"/>
      <c r="C32" t="s">
        <v>86</v>
      </c>
      <c r="G32" s="3">
        <f>+I7</f>
        <v>7516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1392714.8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6151.75</v>
      </c>
      <c r="H37" s="1" t="str">
        <f>+G24</f>
        <v>Jan 07 status rep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1398866.55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v>5970000</v>
      </c>
      <c r="H43" s="1" t="s">
        <v>92</v>
      </c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1708243.86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420000</v>
      </c>
      <c r="H47" s="1" t="str">
        <f>+H43</f>
        <v>06-07 est final</v>
      </c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295749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-1398866.55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605126.31000000006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605126.31000000006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7516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27902950.4498</v>
      </c>
    </row>
    <row r="65" spans="1:11" ht="13.5" thickTop="1" x14ac:dyDescent="0.2">
      <c r="C65" t="s">
        <v>93</v>
      </c>
      <c r="K65" s="1">
        <v>27734234</v>
      </c>
    </row>
    <row r="66" spans="1:11" x14ac:dyDescent="0.2">
      <c r="A66" s="4" t="s">
        <v>94</v>
      </c>
      <c r="I66" s="31"/>
      <c r="K66" s="30">
        <f>+K64-K65</f>
        <v>168716.44979999959</v>
      </c>
    </row>
    <row r="67" spans="1:11" x14ac:dyDescent="0.2">
      <c r="I67" s="31"/>
      <c r="K67" s="1"/>
    </row>
    <row r="68" spans="1:11" ht="18" x14ac:dyDescent="0.25">
      <c r="A68" s="8" t="s">
        <v>120</v>
      </c>
      <c r="B68" s="9"/>
      <c r="C68" s="9"/>
      <c r="D68" s="9"/>
      <c r="E68" s="9"/>
      <c r="F68" s="9"/>
      <c r="G68" s="10"/>
      <c r="H68" s="10"/>
      <c r="I68" s="10"/>
      <c r="J68" s="9"/>
      <c r="K68" s="9"/>
    </row>
    <row r="69" spans="1:11" ht="18" x14ac:dyDescent="0.25">
      <c r="A69" s="8" t="str">
        <f>+A2</f>
        <v>Calculation of FINAL REVISION for 2006-07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2" spans="1:11" x14ac:dyDescent="0.2">
      <c r="A72" s="16">
        <f>+A3</f>
        <v>0</v>
      </c>
    </row>
    <row r="75" spans="1:11" x14ac:dyDescent="0.2">
      <c r="A75" s="4" t="s">
        <v>34</v>
      </c>
      <c r="B75" s="4" t="s">
        <v>35</v>
      </c>
    </row>
    <row r="77" spans="1:11" x14ac:dyDescent="0.2">
      <c r="C77" t="s">
        <v>36</v>
      </c>
      <c r="I77" s="1">
        <v>5630.02</v>
      </c>
    </row>
    <row r="79" spans="1:11" x14ac:dyDescent="0.2">
      <c r="C79" t="s">
        <v>3</v>
      </c>
      <c r="G79" s="24">
        <f>+G9</f>
        <v>990885249</v>
      </c>
    </row>
    <row r="80" spans="1:11" x14ac:dyDescent="0.2">
      <c r="C80" t="s">
        <v>4</v>
      </c>
      <c r="G80" s="1">
        <f>+G79/1000*18</f>
        <v>17835934.482000001</v>
      </c>
    </row>
    <row r="82" spans="1:11" x14ac:dyDescent="0.2">
      <c r="C82" t="s">
        <v>37</v>
      </c>
    </row>
    <row r="83" spans="1:11" x14ac:dyDescent="0.2">
      <c r="C83" t="s">
        <v>6</v>
      </c>
      <c r="G83" s="3">
        <f>+G13+G30</f>
        <v>6012.84</v>
      </c>
    </row>
    <row r="85" spans="1:11" x14ac:dyDescent="0.2">
      <c r="C85" t="s">
        <v>7</v>
      </c>
      <c r="I85" s="3">
        <f>+G80/G83</f>
        <v>2966.3078482048418</v>
      </c>
    </row>
    <row r="87" spans="1:11" x14ac:dyDescent="0.2">
      <c r="C87" t="s">
        <v>38</v>
      </c>
      <c r="I87" s="1">
        <f>ROUND(+I77-I85,2)</f>
        <v>2663.71</v>
      </c>
    </row>
    <row r="89" spans="1:11" x14ac:dyDescent="0.2">
      <c r="C89" t="s">
        <v>39</v>
      </c>
      <c r="I89" s="3">
        <f>+G83</f>
        <v>6012.84</v>
      </c>
    </row>
    <row r="92" spans="1:11" x14ac:dyDescent="0.2">
      <c r="B92" s="4" t="s">
        <v>40</v>
      </c>
      <c r="K92" s="1">
        <f>+I87*I89</f>
        <v>16016462.036400001</v>
      </c>
    </row>
    <row r="95" spans="1:11" x14ac:dyDescent="0.2">
      <c r="A95" s="4" t="s">
        <v>41</v>
      </c>
      <c r="B95" s="4" t="s">
        <v>42</v>
      </c>
    </row>
    <row r="97" spans="1:11" x14ac:dyDescent="0.2">
      <c r="C97" t="s">
        <v>21</v>
      </c>
      <c r="G97" s="1">
        <f>+G43</f>
        <v>5970000</v>
      </c>
    </row>
    <row r="99" spans="1:11" x14ac:dyDescent="0.2">
      <c r="C99" t="s">
        <v>22</v>
      </c>
      <c r="I99" s="1">
        <f>ROUND(+G97*0.286138,2)</f>
        <v>1708243.86</v>
      </c>
    </row>
    <row r="101" spans="1:11" x14ac:dyDescent="0.2">
      <c r="C101" t="s">
        <v>23</v>
      </c>
      <c r="G101" s="1">
        <f>+G47</f>
        <v>420000</v>
      </c>
    </row>
    <row r="103" spans="1:11" x14ac:dyDescent="0.2">
      <c r="C103" t="s">
        <v>24</v>
      </c>
      <c r="I103" s="3">
        <f>ROUND(+G101*0.704165,0)</f>
        <v>295749</v>
      </c>
    </row>
    <row r="105" spans="1:11" x14ac:dyDescent="0.2">
      <c r="B105" s="4" t="s">
        <v>43</v>
      </c>
      <c r="K105" s="1">
        <f>+I99+I103</f>
        <v>2003992.86</v>
      </c>
    </row>
    <row r="106" spans="1:11" x14ac:dyDescent="0.2">
      <c r="K106" s="15"/>
    </row>
    <row r="107" spans="1:11" x14ac:dyDescent="0.2">
      <c r="K107" s="1"/>
    </row>
    <row r="108" spans="1:11" x14ac:dyDescent="0.2">
      <c r="A108" s="4" t="s">
        <v>44</v>
      </c>
      <c r="B108" s="4" t="s">
        <v>45</v>
      </c>
    </row>
    <row r="110" spans="1:11" x14ac:dyDescent="0.2">
      <c r="C110" t="s">
        <v>33</v>
      </c>
      <c r="I110" s="1">
        <f>+K64</f>
        <v>27902950.4498</v>
      </c>
    </row>
    <row r="112" spans="1:11" x14ac:dyDescent="0.2">
      <c r="C112" t="s">
        <v>46</v>
      </c>
      <c r="I112" s="1">
        <f>-K92</f>
        <v>-16016462.036400001</v>
      </c>
    </row>
    <row r="114" spans="1:11" x14ac:dyDescent="0.2">
      <c r="C114" t="s">
        <v>47</v>
      </c>
      <c r="I114" s="3">
        <f>-K105</f>
        <v>-2003992.86</v>
      </c>
    </row>
    <row r="115" spans="1:11" x14ac:dyDescent="0.2">
      <c r="K115" s="15"/>
    </row>
    <row r="116" spans="1:11" x14ac:dyDescent="0.2">
      <c r="B116" s="4" t="s">
        <v>48</v>
      </c>
      <c r="K116" s="3">
        <f>+I110+I112+I114</f>
        <v>9882495.5533999987</v>
      </c>
    </row>
    <row r="120" spans="1:11" s="6" customFormat="1" ht="16.5" thickBot="1" x14ac:dyDescent="0.3">
      <c r="A120" s="5" t="s">
        <v>33</v>
      </c>
      <c r="G120" s="7"/>
      <c r="H120" s="7"/>
      <c r="I120" s="7"/>
      <c r="K120" s="18">
        <f>SUM(K92:K116)</f>
        <v>27902950.4498</v>
      </c>
    </row>
    <row r="121" spans="1:11" ht="13.5" thickTop="1" x14ac:dyDescent="0.2"/>
    <row r="122" spans="1:11" x14ac:dyDescent="0.2">
      <c r="K122" s="15"/>
    </row>
    <row r="123" spans="1:11" x14ac:dyDescent="0.2">
      <c r="I123" s="25"/>
      <c r="J123" s="26"/>
      <c r="K123" s="27"/>
    </row>
    <row r="124" spans="1:11" x14ac:dyDescent="0.2">
      <c r="K124" s="15"/>
    </row>
  </sheetData>
  <phoneticPr fontId="0" type="noConversion"/>
  <pageMargins left="0.5" right="0.25" top="0.5" bottom="0.25" header="0.5" footer="0.5"/>
  <pageSetup scale="4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97" workbookViewId="0">
      <selection activeCell="A68" sqref="A68"/>
    </sheetView>
  </sheetViews>
  <sheetFormatPr defaultRowHeight="12.75" x14ac:dyDescent="0.2"/>
  <cols>
    <col min="1" max="1" width="8.28515625" style="4" customWidth="1"/>
    <col min="2" max="2" width="3.7109375" customWidth="1"/>
    <col min="3" max="3" width="6.5703125" customWidth="1"/>
    <col min="6" max="6" width="7.140625" customWidth="1"/>
    <col min="7" max="7" width="14.42578125" style="1" customWidth="1"/>
    <col min="8" max="8" width="2.7109375" style="1" customWidth="1"/>
    <col min="9" max="9" width="14.28515625" style="1" customWidth="1"/>
    <col min="10" max="10" width="2" customWidth="1"/>
    <col min="11" max="11" width="14.28515625" customWidth="1"/>
  </cols>
  <sheetData>
    <row r="1" spans="1:11" ht="18" x14ac:dyDescent="0.25">
      <c r="A1" s="8" t="s">
        <v>120</v>
      </c>
      <c r="B1" s="9"/>
      <c r="C1" s="9"/>
      <c r="D1" s="9"/>
      <c r="E1" s="9"/>
      <c r="F1" s="9"/>
      <c r="G1" s="10"/>
      <c r="H1" s="10"/>
      <c r="I1" s="10"/>
      <c r="J1" s="9"/>
      <c r="K1" s="9"/>
    </row>
    <row r="2" spans="1:11" ht="18" x14ac:dyDescent="0.25">
      <c r="A2" s="8" t="s">
        <v>87</v>
      </c>
      <c r="B2" s="9"/>
      <c r="C2" s="9"/>
      <c r="D2" s="9"/>
      <c r="E2" s="9"/>
      <c r="F2" s="9"/>
      <c r="G2" s="10"/>
      <c r="H2" s="10"/>
      <c r="I2" s="10"/>
      <c r="J2" s="9"/>
      <c r="K2" s="9"/>
    </row>
    <row r="3" spans="1:11" ht="15" x14ac:dyDescent="0.25">
      <c r="A3" s="16"/>
      <c r="F3" s="29" t="s">
        <v>102</v>
      </c>
    </row>
    <row r="5" spans="1:11" x14ac:dyDescent="0.2">
      <c r="A5" s="2" t="s">
        <v>1</v>
      </c>
    </row>
    <row r="6" spans="1:11" x14ac:dyDescent="0.2">
      <c r="A6" s="2">
        <v>20</v>
      </c>
      <c r="B6" s="4" t="s">
        <v>2</v>
      </c>
    </row>
    <row r="7" spans="1:11" x14ac:dyDescent="0.2">
      <c r="A7" s="2"/>
      <c r="C7" t="s">
        <v>66</v>
      </c>
      <c r="I7" s="20">
        <v>7516</v>
      </c>
    </row>
    <row r="8" spans="1:11" x14ac:dyDescent="0.2">
      <c r="A8" s="2"/>
    </row>
    <row r="9" spans="1:11" x14ac:dyDescent="0.2">
      <c r="A9" s="2"/>
      <c r="C9" t="s">
        <v>3</v>
      </c>
      <c r="G9" s="22">
        <v>990885249</v>
      </c>
    </row>
    <row r="10" spans="1:11" x14ac:dyDescent="0.2">
      <c r="A10" s="2"/>
      <c r="C10" t="s">
        <v>4</v>
      </c>
      <c r="G10" s="23">
        <f>+G9/1000*18</f>
        <v>17835934.482000001</v>
      </c>
      <c r="J10" s="33" t="s">
        <v>68</v>
      </c>
      <c r="K10" s="32">
        <f>+G10-K11</f>
        <v>17746754.482000001</v>
      </c>
    </row>
    <row r="11" spans="1:11" x14ac:dyDescent="0.2">
      <c r="A11" s="2"/>
      <c r="J11" s="33" t="s">
        <v>69</v>
      </c>
      <c r="K11" s="32">
        <v>89180</v>
      </c>
    </row>
    <row r="12" spans="1:11" x14ac:dyDescent="0.2">
      <c r="A12" s="2"/>
      <c r="C12" t="s">
        <v>5</v>
      </c>
    </row>
    <row r="13" spans="1:11" x14ac:dyDescent="0.2">
      <c r="A13" s="2"/>
      <c r="C13" t="s">
        <v>6</v>
      </c>
      <c r="G13" s="21">
        <v>5827.54</v>
      </c>
    </row>
    <row r="14" spans="1:11" x14ac:dyDescent="0.2">
      <c r="A14" s="2"/>
    </row>
    <row r="15" spans="1:11" x14ac:dyDescent="0.2">
      <c r="A15" s="2"/>
      <c r="C15" t="s">
        <v>7</v>
      </c>
      <c r="I15" s="3">
        <f>+G10/G13</f>
        <v>3060.6284095862065</v>
      </c>
    </row>
    <row r="16" spans="1:11" x14ac:dyDescent="0.2">
      <c r="A16" s="2"/>
    </row>
    <row r="17" spans="1:11" x14ac:dyDescent="0.2">
      <c r="A17" s="2"/>
      <c r="C17" t="s">
        <v>8</v>
      </c>
      <c r="I17" s="1">
        <f>ROUND(+I7-I15,2)</f>
        <v>4455.37</v>
      </c>
    </row>
    <row r="18" spans="1:11" x14ac:dyDescent="0.2">
      <c r="A18" s="2"/>
    </row>
    <row r="19" spans="1:11" x14ac:dyDescent="0.2">
      <c r="A19" s="2"/>
      <c r="C19" t="s">
        <v>9</v>
      </c>
      <c r="I19" s="3">
        <f>+G13</f>
        <v>5827.54</v>
      </c>
    </row>
    <row r="20" spans="1:11" x14ac:dyDescent="0.2">
      <c r="A20" s="2"/>
    </row>
    <row r="21" spans="1:11" x14ac:dyDescent="0.2">
      <c r="A21" s="2"/>
    </row>
    <row r="22" spans="1:11" x14ac:dyDescent="0.2">
      <c r="A22" s="2"/>
      <c r="I22" s="1">
        <f>+I17*I19</f>
        <v>25963846.889800001</v>
      </c>
    </row>
    <row r="23" spans="1:11" x14ac:dyDescent="0.2">
      <c r="A23" s="2"/>
      <c r="C23" t="s">
        <v>10</v>
      </c>
    </row>
    <row r="24" spans="1:11" x14ac:dyDescent="0.2">
      <c r="A24" s="2"/>
      <c r="C24" t="s">
        <v>11</v>
      </c>
      <c r="G24" s="1" t="s">
        <v>88</v>
      </c>
      <c r="I24" s="21">
        <v>-64889.3</v>
      </c>
    </row>
    <row r="25" spans="1:11" x14ac:dyDescent="0.2">
      <c r="A25" s="2"/>
    </row>
    <row r="26" spans="1:11" x14ac:dyDescent="0.2">
      <c r="A26" s="2"/>
      <c r="B26" s="4" t="s">
        <v>12</v>
      </c>
      <c r="J26" t="s">
        <v>13</v>
      </c>
      <c r="K26" s="1">
        <f>+I22+I24</f>
        <v>25898957.5898</v>
      </c>
    </row>
    <row r="27" spans="1:11" x14ac:dyDescent="0.2">
      <c r="A27" s="2"/>
    </row>
    <row r="28" spans="1:11" x14ac:dyDescent="0.2">
      <c r="A28" s="2" t="s">
        <v>14</v>
      </c>
      <c r="B28" s="4" t="s">
        <v>15</v>
      </c>
    </row>
    <row r="29" spans="1:11" x14ac:dyDescent="0.2">
      <c r="A29" s="2"/>
    </row>
    <row r="30" spans="1:11" x14ac:dyDescent="0.2">
      <c r="A30" s="2"/>
      <c r="C30" t="s">
        <v>16</v>
      </c>
      <c r="G30" s="20">
        <v>185.3</v>
      </c>
    </row>
    <row r="31" spans="1:11" x14ac:dyDescent="0.2">
      <c r="A31" s="2"/>
    </row>
    <row r="32" spans="1:11" x14ac:dyDescent="0.2">
      <c r="A32" s="2"/>
      <c r="C32" t="s">
        <v>86</v>
      </c>
      <c r="G32" s="3">
        <f>+I7</f>
        <v>7516</v>
      </c>
    </row>
    <row r="33" spans="1:11" x14ac:dyDescent="0.2">
      <c r="A33" s="2"/>
    </row>
    <row r="34" spans="1:11" x14ac:dyDescent="0.2">
      <c r="A34" s="2"/>
      <c r="C34" t="s">
        <v>17</v>
      </c>
      <c r="G34" s="1">
        <f>ROUND(+G30*G32,2)</f>
        <v>1392714.8</v>
      </c>
    </row>
    <row r="35" spans="1:11" x14ac:dyDescent="0.2">
      <c r="A35" s="2"/>
    </row>
    <row r="36" spans="1:11" x14ac:dyDescent="0.2">
      <c r="A36" s="2"/>
      <c r="C36" t="s">
        <v>10</v>
      </c>
    </row>
    <row r="37" spans="1:11" x14ac:dyDescent="0.2">
      <c r="A37" s="2"/>
      <c r="C37" t="s">
        <v>11</v>
      </c>
      <c r="G37" s="21">
        <v>6151.75</v>
      </c>
      <c r="H37" s="1" t="str">
        <f>+G24</f>
        <v>Jan 07 status rep</v>
      </c>
    </row>
    <row r="38" spans="1:11" x14ac:dyDescent="0.2">
      <c r="A38" s="2"/>
    </row>
    <row r="39" spans="1:11" x14ac:dyDescent="0.2">
      <c r="A39" s="2"/>
      <c r="B39" s="4" t="s">
        <v>18</v>
      </c>
      <c r="J39" t="s">
        <v>13</v>
      </c>
      <c r="K39" s="1">
        <f>+G34+G37</f>
        <v>1398866.55</v>
      </c>
    </row>
    <row r="40" spans="1:11" x14ac:dyDescent="0.2">
      <c r="A40" s="2"/>
      <c r="G40" s="25"/>
    </row>
    <row r="41" spans="1:11" x14ac:dyDescent="0.2">
      <c r="A41" s="2" t="s">
        <v>19</v>
      </c>
      <c r="B41" s="4" t="s">
        <v>20</v>
      </c>
    </row>
    <row r="42" spans="1:11" x14ac:dyDescent="0.2">
      <c r="A42" s="2"/>
    </row>
    <row r="43" spans="1:11" x14ac:dyDescent="0.2">
      <c r="A43" s="2"/>
      <c r="C43" t="s">
        <v>21</v>
      </c>
      <c r="G43" s="20">
        <v>5910802</v>
      </c>
      <c r="H43" s="20" t="s">
        <v>103</v>
      </c>
      <c r="I43" s="20"/>
    </row>
    <row r="44" spans="1:11" x14ac:dyDescent="0.2">
      <c r="A44" s="2"/>
    </row>
    <row r="45" spans="1:11" x14ac:dyDescent="0.2">
      <c r="A45" s="2"/>
      <c r="C45" t="s">
        <v>22</v>
      </c>
      <c r="I45" s="1">
        <f>ROUND(+G43*0.286138,2)</f>
        <v>1691305.06</v>
      </c>
    </row>
    <row r="46" spans="1:11" x14ac:dyDescent="0.2">
      <c r="A46" s="2"/>
    </row>
    <row r="47" spans="1:11" x14ac:dyDescent="0.2">
      <c r="A47" s="2"/>
      <c r="C47" t="s">
        <v>23</v>
      </c>
      <c r="G47" s="20">
        <v>513038</v>
      </c>
      <c r="H47" s="20" t="str">
        <f>+H43</f>
        <v>06-07 final</v>
      </c>
      <c r="I47" s="20"/>
    </row>
    <row r="48" spans="1:11" x14ac:dyDescent="0.2">
      <c r="A48" s="2"/>
    </row>
    <row r="49" spans="1:11" x14ac:dyDescent="0.2">
      <c r="A49" s="2"/>
      <c r="C49" t="s">
        <v>24</v>
      </c>
      <c r="I49" s="1">
        <f>ROUND(+G47*0.704165,0)</f>
        <v>361263</v>
      </c>
    </row>
    <row r="50" spans="1:11" x14ac:dyDescent="0.2">
      <c r="A50" s="2"/>
    </row>
    <row r="51" spans="1:11" x14ac:dyDescent="0.2">
      <c r="A51" s="2"/>
      <c r="C51" t="s">
        <v>25</v>
      </c>
      <c r="I51" s="3">
        <f>-K39</f>
        <v>-1398866.55</v>
      </c>
    </row>
    <row r="52" spans="1:11" x14ac:dyDescent="0.2">
      <c r="A52" s="2"/>
    </row>
    <row r="53" spans="1:11" x14ac:dyDescent="0.2">
      <c r="A53" s="2"/>
      <c r="B53" s="4" t="s">
        <v>26</v>
      </c>
      <c r="K53" s="1">
        <f>+I45+I49+I51</f>
        <v>653701.51</v>
      </c>
    </row>
    <row r="54" spans="1:11" x14ac:dyDescent="0.2">
      <c r="A54" s="2"/>
      <c r="K54" s="15"/>
    </row>
    <row r="55" spans="1:11" x14ac:dyDescent="0.2">
      <c r="A55" s="2" t="s">
        <v>27</v>
      </c>
      <c r="B55" s="4" t="s">
        <v>28</v>
      </c>
      <c r="K55" s="1">
        <v>0</v>
      </c>
    </row>
    <row r="56" spans="1:11" x14ac:dyDescent="0.2">
      <c r="A56" s="2"/>
      <c r="B56" s="4"/>
      <c r="C56" t="s">
        <v>64</v>
      </c>
      <c r="G56" s="1">
        <v>263831</v>
      </c>
      <c r="K56" s="1"/>
    </row>
    <row r="57" spans="1:11" x14ac:dyDescent="0.2">
      <c r="A57" s="2"/>
      <c r="B57" s="4"/>
      <c r="C57" t="s">
        <v>65</v>
      </c>
      <c r="G57" s="1">
        <f>+K53</f>
        <v>653701.51</v>
      </c>
      <c r="I57" s="1">
        <v>0</v>
      </c>
      <c r="K57" s="1"/>
    </row>
    <row r="58" spans="1:11" x14ac:dyDescent="0.2">
      <c r="A58" s="2"/>
      <c r="K58" s="1">
        <f>+I57</f>
        <v>0</v>
      </c>
    </row>
    <row r="59" spans="1:11" x14ac:dyDescent="0.2">
      <c r="A59" s="2" t="s">
        <v>29</v>
      </c>
      <c r="B59" s="4" t="s">
        <v>30</v>
      </c>
    </row>
    <row r="60" spans="1:11" x14ac:dyDescent="0.2">
      <c r="A60" s="2"/>
      <c r="C60" t="s">
        <v>31</v>
      </c>
      <c r="G60" s="1">
        <v>0</v>
      </c>
    </row>
    <row r="61" spans="1:11" x14ac:dyDescent="0.2">
      <c r="A61" s="2"/>
      <c r="C61" t="s">
        <v>63</v>
      </c>
      <c r="G61" s="3">
        <f>+I7</f>
        <v>7516</v>
      </c>
    </row>
    <row r="62" spans="1:11" x14ac:dyDescent="0.2">
      <c r="A62" s="2"/>
      <c r="B62" s="4" t="s">
        <v>32</v>
      </c>
      <c r="K62" s="3">
        <f>+G60*G61</f>
        <v>0</v>
      </c>
    </row>
    <row r="64" spans="1:11" s="6" customFormat="1" ht="16.5" thickBot="1" x14ac:dyDescent="0.3">
      <c r="A64" s="5" t="s">
        <v>33</v>
      </c>
      <c r="G64" s="7"/>
      <c r="H64" s="7"/>
      <c r="I64" s="7"/>
      <c r="J64" s="19" t="s">
        <v>13</v>
      </c>
      <c r="K64" s="18">
        <f>+K26+K39+K53+K55+K62+K54+K58</f>
        <v>27951525.649800003</v>
      </c>
    </row>
    <row r="65" spans="1:11" ht="13.5" thickTop="1" x14ac:dyDescent="0.2">
      <c r="C65" t="s">
        <v>93</v>
      </c>
      <c r="K65" s="1">
        <v>27734234</v>
      </c>
    </row>
    <row r="66" spans="1:11" x14ac:dyDescent="0.2">
      <c r="A66" s="4" t="s">
        <v>94</v>
      </c>
      <c r="I66" s="31"/>
      <c r="K66" s="38">
        <f>+K64-K65</f>
        <v>217291.64980000257</v>
      </c>
    </row>
    <row r="67" spans="1:11" x14ac:dyDescent="0.2">
      <c r="I67" s="31"/>
      <c r="K67" s="1"/>
    </row>
    <row r="68" spans="1:11" ht="18" x14ac:dyDescent="0.25">
      <c r="A68" s="8" t="s">
        <v>120</v>
      </c>
      <c r="B68" s="9"/>
      <c r="C68" s="9"/>
      <c r="D68" s="9"/>
      <c r="E68" s="9"/>
      <c r="F68" s="9"/>
      <c r="G68" s="10"/>
      <c r="H68" s="10"/>
      <c r="I68" s="10"/>
      <c r="J68" s="9"/>
      <c r="K68" s="9"/>
    </row>
    <row r="69" spans="1:11" ht="18" x14ac:dyDescent="0.25">
      <c r="A69" s="8" t="str">
        <f>+A2</f>
        <v>Calculation of FINAL REVISION for 2006-07</v>
      </c>
      <c r="B69" s="9"/>
      <c r="C69" s="9"/>
      <c r="D69" s="9"/>
      <c r="E69" s="9"/>
      <c r="F69" s="9"/>
      <c r="G69" s="10"/>
      <c r="H69" s="10"/>
      <c r="I69" s="10"/>
      <c r="J69" s="9"/>
      <c r="K69" s="9"/>
    </row>
    <row r="72" spans="1:11" x14ac:dyDescent="0.2">
      <c r="A72" s="16">
        <f>+A3</f>
        <v>0</v>
      </c>
    </row>
    <row r="75" spans="1:11" x14ac:dyDescent="0.2">
      <c r="A75" s="4" t="s">
        <v>34</v>
      </c>
      <c r="B75" s="4" t="s">
        <v>35</v>
      </c>
    </row>
    <row r="77" spans="1:11" x14ac:dyDescent="0.2">
      <c r="C77" t="s">
        <v>36</v>
      </c>
      <c r="I77" s="1">
        <v>5630.02</v>
      </c>
    </row>
    <row r="79" spans="1:11" x14ac:dyDescent="0.2">
      <c r="C79" t="s">
        <v>3</v>
      </c>
      <c r="G79" s="24">
        <f>+G9</f>
        <v>990885249</v>
      </c>
    </row>
    <row r="80" spans="1:11" x14ac:dyDescent="0.2">
      <c r="C80" t="s">
        <v>4</v>
      </c>
      <c r="G80" s="1">
        <f>+G79/1000*18</f>
        <v>17835934.482000001</v>
      </c>
    </row>
    <row r="82" spans="1:11" x14ac:dyDescent="0.2">
      <c r="C82" t="s">
        <v>37</v>
      </c>
    </row>
    <row r="83" spans="1:11" x14ac:dyDescent="0.2">
      <c r="C83" t="s">
        <v>6</v>
      </c>
      <c r="G83" s="3">
        <f>+G13+G30</f>
        <v>6012.84</v>
      </c>
    </row>
    <row r="85" spans="1:11" x14ac:dyDescent="0.2">
      <c r="C85" t="s">
        <v>7</v>
      </c>
      <c r="I85" s="3">
        <f>+G80/G83</f>
        <v>2966.3078482048418</v>
      </c>
    </row>
    <row r="87" spans="1:11" x14ac:dyDescent="0.2">
      <c r="C87" t="s">
        <v>38</v>
      </c>
      <c r="I87" s="1">
        <f>ROUND(+I77-I85,2)</f>
        <v>2663.71</v>
      </c>
    </row>
    <row r="89" spans="1:11" x14ac:dyDescent="0.2">
      <c r="C89" t="s">
        <v>39</v>
      </c>
      <c r="I89" s="3">
        <f>+G83</f>
        <v>6012.84</v>
      </c>
    </row>
    <row r="92" spans="1:11" x14ac:dyDescent="0.2">
      <c r="B92" s="4" t="s">
        <v>40</v>
      </c>
      <c r="K92" s="1">
        <f>+I87*I89</f>
        <v>16016462.036400001</v>
      </c>
    </row>
    <row r="95" spans="1:11" x14ac:dyDescent="0.2">
      <c r="A95" s="4" t="s">
        <v>41</v>
      </c>
      <c r="B95" s="4" t="s">
        <v>42</v>
      </c>
    </row>
    <row r="97" spans="1:11" x14ac:dyDescent="0.2">
      <c r="C97" t="s">
        <v>21</v>
      </c>
      <c r="G97" s="1">
        <f>+G43</f>
        <v>5910802</v>
      </c>
    </row>
    <row r="99" spans="1:11" x14ac:dyDescent="0.2">
      <c r="C99" t="s">
        <v>22</v>
      </c>
      <c r="I99" s="1">
        <f>ROUND(+G97*0.286138,2)</f>
        <v>1691305.06</v>
      </c>
    </row>
    <row r="101" spans="1:11" x14ac:dyDescent="0.2">
      <c r="C101" t="s">
        <v>23</v>
      </c>
      <c r="G101" s="1">
        <f>+G47</f>
        <v>513038</v>
      </c>
    </row>
    <row r="103" spans="1:11" x14ac:dyDescent="0.2">
      <c r="C103" t="s">
        <v>24</v>
      </c>
      <c r="I103" s="3">
        <f>ROUND(+G101*0.704165,0)</f>
        <v>361263</v>
      </c>
    </row>
    <row r="105" spans="1:11" x14ac:dyDescent="0.2">
      <c r="B105" s="4" t="s">
        <v>43</v>
      </c>
      <c r="K105" s="1">
        <f>+I99+I103</f>
        <v>2052568.06</v>
      </c>
    </row>
    <row r="106" spans="1:11" x14ac:dyDescent="0.2">
      <c r="K106" s="15"/>
    </row>
    <row r="107" spans="1:11" x14ac:dyDescent="0.2">
      <c r="K107" s="1"/>
    </row>
    <row r="108" spans="1:11" x14ac:dyDescent="0.2">
      <c r="A108" s="4" t="s">
        <v>44</v>
      </c>
      <c r="B108" s="4" t="s">
        <v>45</v>
      </c>
    </row>
    <row r="110" spans="1:11" x14ac:dyDescent="0.2">
      <c r="C110" t="s">
        <v>33</v>
      </c>
      <c r="I110" s="1">
        <f>+K64</f>
        <v>27951525.649800003</v>
      </c>
    </row>
    <row r="112" spans="1:11" x14ac:dyDescent="0.2">
      <c r="C112" t="s">
        <v>46</v>
      </c>
      <c r="I112" s="1">
        <f>-K92</f>
        <v>-16016462.036400001</v>
      </c>
    </row>
    <row r="114" spans="1:11" x14ac:dyDescent="0.2">
      <c r="C114" t="s">
        <v>47</v>
      </c>
      <c r="I114" s="3">
        <f>-K105</f>
        <v>-2052568.06</v>
      </c>
    </row>
    <row r="115" spans="1:11" x14ac:dyDescent="0.2">
      <c r="K115" s="15"/>
    </row>
    <row r="116" spans="1:11" x14ac:dyDescent="0.2">
      <c r="B116" s="4" t="s">
        <v>48</v>
      </c>
      <c r="K116" s="3">
        <f>+I110+I112+I114</f>
        <v>9882495.5534000006</v>
      </c>
    </row>
    <row r="120" spans="1:11" s="6" customFormat="1" ht="16.5" thickBot="1" x14ac:dyDescent="0.3">
      <c r="A120" s="5" t="s">
        <v>33</v>
      </c>
      <c r="G120" s="7"/>
      <c r="H120" s="7"/>
      <c r="I120" s="7"/>
      <c r="K120" s="18">
        <f>SUM(K92:K116)</f>
        <v>27951525.649800003</v>
      </c>
    </row>
    <row r="121" spans="1:11" ht="13.5" thickTop="1" x14ac:dyDescent="0.2"/>
    <row r="122" spans="1:11" x14ac:dyDescent="0.2">
      <c r="K122" s="15"/>
    </row>
    <row r="123" spans="1:11" x14ac:dyDescent="0.2">
      <c r="I123" s="25"/>
      <c r="J123" s="26"/>
      <c r="K123" s="27"/>
    </row>
    <row r="124" spans="1:11" x14ac:dyDescent="0.2">
      <c r="K124" s="15"/>
    </row>
  </sheetData>
  <phoneticPr fontId="0" type="noConversion"/>
  <pageMargins left="0.75" right="0.75" top="1" bottom="1" header="0.5" footer="0.5"/>
  <pageSetup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Pupil count for 5 year plan</vt:lpstr>
      <vt:lpstr>05-06 Final rev</vt:lpstr>
      <vt:lpstr>05-06 w 2006 est costs</vt:lpstr>
      <vt:lpstr>05-06 w final 2006 costs</vt:lpstr>
      <vt:lpstr>06-07 prop</vt:lpstr>
      <vt:lpstr>06-07 First rev</vt:lpstr>
      <vt:lpstr>06-07 Final rev</vt:lpstr>
      <vt:lpstr>06-07 final w est</vt:lpstr>
      <vt:lpstr>06-07 final</vt:lpstr>
      <vt:lpstr>07-08 prop</vt:lpstr>
      <vt:lpstr>07-08 prop adj py</vt:lpstr>
      <vt:lpstr>First rev 07-08</vt:lpstr>
      <vt:lpstr>07-08 adj in 08-09</vt:lpstr>
      <vt:lpstr>08-09 proj</vt:lpstr>
      <vt:lpstr>09-10 proj</vt:lpstr>
    </vt:vector>
  </TitlesOfParts>
  <Company>WISD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Marcel</dc:creator>
  <cp:lastModifiedBy>Pat Korloch</cp:lastModifiedBy>
  <cp:lastPrinted>2007-11-19T18:16:15Z</cp:lastPrinted>
  <dcterms:created xsi:type="dcterms:W3CDTF">2000-11-15T20:44:23Z</dcterms:created>
  <dcterms:modified xsi:type="dcterms:W3CDTF">2014-07-31T14:40:47Z</dcterms:modified>
</cp:coreProperties>
</file>