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1265" windowHeight="6195" activeTab="2"/>
  </bookViews>
  <sheets>
    <sheet name="Gen Long Term Obl" sheetId="1" r:id="rId1"/>
    <sheet name="Install contr by year" sheetId="2" r:id="rId2"/>
    <sheet name="Bond &amp; con pymts by yr" sheetId="3" r:id="rId3"/>
  </sheets>
  <definedNames>
    <definedName name="_xlnm.Print_Area" localSheetId="0">'Gen Long Term Obl'!$1:$49</definedName>
    <definedName name="_xlnm.Print_Area" localSheetId="1">'Install contr by year'!$A$1:$K$25</definedName>
    <definedName name="_xlnm.Print_Titles" localSheetId="2">'Bond &amp; con pymts by yr'!$A:$B</definedName>
    <definedName name="_xlnm.Print_Titles" localSheetId="1">'Install contr by year'!$A:$A,'Install contr by year'!$1:$10</definedName>
  </definedNames>
  <calcPr calcId="145621" fullCalcOnLoad="1"/>
</workbook>
</file>

<file path=xl/calcChain.xml><?xml version="1.0" encoding="utf-8"?>
<calcChain xmlns="http://schemas.openxmlformats.org/spreadsheetml/2006/main">
  <c r="M11" i="3" l="1"/>
  <c r="J11" i="3"/>
  <c r="L11" i="3"/>
  <c r="D11" i="3"/>
  <c r="D12" i="3" s="1"/>
  <c r="M7" i="3"/>
  <c r="E12" i="2"/>
  <c r="I12" i="2"/>
  <c r="Q7" i="3" s="1"/>
  <c r="S7" i="3" s="1"/>
  <c r="J7" i="3"/>
  <c r="L7" i="3"/>
  <c r="D7" i="3"/>
  <c r="N7" i="3"/>
  <c r="F12" i="2"/>
  <c r="J12" i="2"/>
  <c r="R7" i="3" s="1"/>
  <c r="U7" i="3"/>
  <c r="M8" i="3"/>
  <c r="E13" i="2"/>
  <c r="I13" i="2"/>
  <c r="Q8" i="3" s="1"/>
  <c r="T8" i="3"/>
  <c r="J8" i="3"/>
  <c r="L8" i="3"/>
  <c r="D8" i="3"/>
  <c r="N8" i="3"/>
  <c r="U8" i="3" s="1"/>
  <c r="F13" i="2"/>
  <c r="J13" i="2"/>
  <c r="R8" i="3" s="1"/>
  <c r="M9" i="3"/>
  <c r="O9" i="3" s="1"/>
  <c r="E14" i="2"/>
  <c r="I14" i="2"/>
  <c r="Q9" i="3" s="1"/>
  <c r="J9" i="3"/>
  <c r="L9" i="3"/>
  <c r="D9" i="3"/>
  <c r="N9" i="3"/>
  <c r="F14" i="2"/>
  <c r="J14" i="2"/>
  <c r="R9" i="3" s="1"/>
  <c r="U9" i="3"/>
  <c r="M10" i="3"/>
  <c r="E15" i="2"/>
  <c r="I15" i="2"/>
  <c r="Q10" i="3" s="1"/>
  <c r="T10" i="3"/>
  <c r="J10" i="3"/>
  <c r="L10" i="3"/>
  <c r="N10" i="3" s="1"/>
  <c r="F15" i="2"/>
  <c r="J15" i="2" s="1"/>
  <c r="R10" i="3"/>
  <c r="S9" i="3"/>
  <c r="Q12" i="3"/>
  <c r="O10" i="3"/>
  <c r="L25" i="3"/>
  <c r="N25" i="3" s="1"/>
  <c r="O25" i="3" s="1"/>
  <c r="L24" i="3"/>
  <c r="N24" i="3" s="1"/>
  <c r="U24" i="3" s="1"/>
  <c r="L23" i="3"/>
  <c r="N23" i="3" s="1"/>
  <c r="O23" i="3" s="1"/>
  <c r="L22" i="3"/>
  <c r="N22" i="3" s="1"/>
  <c r="U22" i="3" s="1"/>
  <c r="L21" i="3"/>
  <c r="L18" i="3"/>
  <c r="D18" i="3"/>
  <c r="N18" i="3"/>
  <c r="L17" i="3"/>
  <c r="D17" i="3"/>
  <c r="L16" i="3"/>
  <c r="D16" i="3"/>
  <c r="N16" i="3"/>
  <c r="J15" i="3"/>
  <c r="L15" i="3"/>
  <c r="D15" i="3"/>
  <c r="N15" i="3"/>
  <c r="J14" i="3"/>
  <c r="L14" i="3"/>
  <c r="L19" i="3" s="1"/>
  <c r="D14" i="3"/>
  <c r="N14" i="3"/>
  <c r="M25" i="3"/>
  <c r="M24" i="3"/>
  <c r="T24" i="3" s="1"/>
  <c r="M23" i="3"/>
  <c r="M22" i="3"/>
  <c r="O22" i="3" s="1"/>
  <c r="M21" i="3"/>
  <c r="M18" i="3"/>
  <c r="M17" i="3"/>
  <c r="M16" i="3"/>
  <c r="M15" i="3"/>
  <c r="M14" i="3"/>
  <c r="O24" i="3"/>
  <c r="M26" i="3"/>
  <c r="K26" i="3"/>
  <c r="J26" i="3"/>
  <c r="I26" i="3"/>
  <c r="H26" i="3"/>
  <c r="G26" i="3"/>
  <c r="F26" i="3"/>
  <c r="E26" i="3"/>
  <c r="D26" i="3"/>
  <c r="C26" i="3"/>
  <c r="O15" i="3"/>
  <c r="K19" i="3"/>
  <c r="K34" i="3" s="1"/>
  <c r="J19" i="3"/>
  <c r="I19" i="3"/>
  <c r="I34" i="3" s="1"/>
  <c r="H19" i="3"/>
  <c r="G19" i="3"/>
  <c r="G34" i="3" s="1"/>
  <c r="F19" i="3"/>
  <c r="E19" i="3"/>
  <c r="C19" i="3"/>
  <c r="C12" i="3"/>
  <c r="C32" i="3"/>
  <c r="E12" i="3"/>
  <c r="E32" i="3"/>
  <c r="G12" i="3"/>
  <c r="G32" i="3"/>
  <c r="I12" i="3"/>
  <c r="I32" i="3"/>
  <c r="K12" i="3"/>
  <c r="K32" i="3"/>
  <c r="K37" i="3"/>
  <c r="N31" i="3"/>
  <c r="M31" i="3"/>
  <c r="L30" i="3"/>
  <c r="N30" i="3" s="1"/>
  <c r="M30" i="3"/>
  <c r="L29" i="3"/>
  <c r="N29" i="3"/>
  <c r="M29" i="3"/>
  <c r="L28" i="3"/>
  <c r="M28" i="3"/>
  <c r="L12" i="3"/>
  <c r="H12" i="3"/>
  <c r="F12" i="3"/>
  <c r="T25" i="3"/>
  <c r="S25" i="3"/>
  <c r="U18" i="3"/>
  <c r="S18" i="3"/>
  <c r="U30" i="3"/>
  <c r="T29" i="3"/>
  <c r="V24" i="3"/>
  <c r="T23" i="3"/>
  <c r="U23" i="3"/>
  <c r="V23" i="3" s="1"/>
  <c r="T21" i="3"/>
  <c r="Q14" i="3"/>
  <c r="Q19" i="3" s="1"/>
  <c r="R14" i="3"/>
  <c r="Q15" i="3"/>
  <c r="T15" i="3"/>
  <c r="R15" i="3"/>
  <c r="U15" i="3"/>
  <c r="Q16" i="3"/>
  <c r="R16" i="3"/>
  <c r="T17" i="3"/>
  <c r="S14" i="3"/>
  <c r="S15" i="3"/>
  <c r="S16" i="3"/>
  <c r="S17" i="3"/>
  <c r="S19" i="3"/>
  <c r="J32" i="3"/>
  <c r="H32" i="3"/>
  <c r="H34" i="3"/>
  <c r="F32" i="3"/>
  <c r="F34" i="3"/>
  <c r="D32" i="3"/>
  <c r="S32" i="3"/>
  <c r="R32" i="3"/>
  <c r="Q32" i="3"/>
  <c r="S26" i="3"/>
  <c r="R26" i="3"/>
  <c r="Q26" i="3"/>
  <c r="F16" i="1"/>
  <c r="D19" i="1"/>
  <c r="F19" i="1" s="1"/>
  <c r="D20" i="1"/>
  <c r="F20" i="1" s="1"/>
  <c r="F22" i="1"/>
  <c r="H22" i="1" s="1"/>
  <c r="F23" i="1"/>
  <c r="H23" i="1" s="1"/>
  <c r="F24" i="1"/>
  <c r="H24" i="1" s="1"/>
  <c r="F25" i="1"/>
  <c r="H25" i="1" s="1"/>
  <c r="F26" i="1"/>
  <c r="H26" i="1" s="1"/>
  <c r="F31" i="1"/>
  <c r="H31" i="1"/>
  <c r="E28" i="1"/>
  <c r="F12" i="1"/>
  <c r="F11" i="1"/>
  <c r="D40" i="1" s="1"/>
  <c r="F10" i="1"/>
  <c r="F9" i="1"/>
  <c r="D38" i="1" s="1"/>
  <c r="F8" i="1"/>
  <c r="C14" i="1"/>
  <c r="C17" i="1" s="1"/>
  <c r="G38" i="1"/>
  <c r="G40" i="1"/>
  <c r="G43" i="1"/>
  <c r="G44" i="1"/>
  <c r="G14" i="1"/>
  <c r="F6" i="1"/>
  <c r="F7" i="1"/>
  <c r="H7" i="1" s="1"/>
  <c r="H9" i="1"/>
  <c r="H11" i="1"/>
  <c r="E14" i="1"/>
  <c r="E17" i="1" s="1"/>
  <c r="D14" i="1"/>
  <c r="D17" i="1" s="1"/>
  <c r="E27" i="1"/>
  <c r="D27" i="1"/>
  <c r="C27" i="1"/>
  <c r="K15" i="2"/>
  <c r="C17" i="2"/>
  <c r="D17" i="2"/>
  <c r="C18" i="2"/>
  <c r="J17" i="2"/>
  <c r="G17" i="2"/>
  <c r="H17" i="2"/>
  <c r="G18" i="2"/>
  <c r="E17" i="2"/>
  <c r="F17" i="2"/>
  <c r="E18" i="2" s="1"/>
  <c r="K12" i="2"/>
  <c r="D37" i="1" l="1"/>
  <c r="H8" i="1"/>
  <c r="D39" i="1"/>
  <c r="G39" i="1" s="1"/>
  <c r="H10" i="1"/>
  <c r="D41" i="1"/>
  <c r="G41" i="1" s="1"/>
  <c r="H12" i="1"/>
  <c r="N28" i="3"/>
  <c r="L32" i="3"/>
  <c r="U29" i="3"/>
  <c r="V29" i="3" s="1"/>
  <c r="O29" i="3"/>
  <c r="T30" i="3"/>
  <c r="V30" i="3" s="1"/>
  <c r="O30" i="3"/>
  <c r="E34" i="3"/>
  <c r="G35" i="3"/>
  <c r="I37" i="3"/>
  <c r="O14" i="3"/>
  <c r="T14" i="3"/>
  <c r="M19" i="3"/>
  <c r="O16" i="3"/>
  <c r="T16" i="3"/>
  <c r="Q34" i="3"/>
  <c r="U12" i="3"/>
  <c r="H6" i="1"/>
  <c r="H14" i="1" s="1"/>
  <c r="F14" i="1"/>
  <c r="F17" i="1" s="1"/>
  <c r="F27" i="1" s="1"/>
  <c r="G20" i="1"/>
  <c r="H20" i="1" s="1"/>
  <c r="G19" i="1"/>
  <c r="G27" i="1" s="1"/>
  <c r="G32" i="1" s="1"/>
  <c r="H16" i="1"/>
  <c r="F29" i="1"/>
  <c r="V15" i="3"/>
  <c r="G37" i="3"/>
  <c r="O18" i="3"/>
  <c r="T18" i="3"/>
  <c r="V18" i="3" s="1"/>
  <c r="U14" i="3"/>
  <c r="U16" i="3"/>
  <c r="N21" i="3"/>
  <c r="L26" i="3"/>
  <c r="L34" i="3" s="1"/>
  <c r="K35" i="3" s="1"/>
  <c r="U10" i="3"/>
  <c r="V10" i="3" s="1"/>
  <c r="V8" i="3"/>
  <c r="O7" i="3"/>
  <c r="M12" i="3"/>
  <c r="N11" i="3"/>
  <c r="U11" i="3" s="1"/>
  <c r="J12" i="3"/>
  <c r="J34" i="3" s="1"/>
  <c r="I35" i="3" s="1"/>
  <c r="K13" i="2"/>
  <c r="K17" i="2" s="1"/>
  <c r="I17" i="2"/>
  <c r="I18" i="2" s="1"/>
  <c r="K14" i="2"/>
  <c r="R19" i="3"/>
  <c r="T22" i="3"/>
  <c r="U25" i="3"/>
  <c r="V25" i="3" s="1"/>
  <c r="T28" i="3"/>
  <c r="M32" i="3"/>
  <c r="C34" i="3"/>
  <c r="N17" i="3"/>
  <c r="D19" i="3"/>
  <c r="D34" i="3" s="1"/>
  <c r="O8" i="3"/>
  <c r="S10" i="3"/>
  <c r="T9" i="3"/>
  <c r="V9" i="3" s="1"/>
  <c r="S8" i="3"/>
  <c r="S12" i="3" s="1"/>
  <c r="S34" i="3" s="1"/>
  <c r="R12" i="3"/>
  <c r="R34" i="3" s="1"/>
  <c r="N12" i="3"/>
  <c r="T7" i="3"/>
  <c r="T11" i="3"/>
  <c r="V11" i="3" s="1"/>
  <c r="O11" i="3"/>
  <c r="V7" i="3" l="1"/>
  <c r="V12" i="3" s="1"/>
  <c r="T12" i="3"/>
  <c r="U17" i="3"/>
  <c r="V17" i="3" s="1"/>
  <c r="O17" i="3"/>
  <c r="M34" i="3"/>
  <c r="N19" i="3"/>
  <c r="T19" i="3"/>
  <c r="V14" i="3"/>
  <c r="E37" i="3"/>
  <c r="E35" i="3"/>
  <c r="N32" i="3"/>
  <c r="U28" i="3"/>
  <c r="U32" i="3" s="1"/>
  <c r="O28" i="3"/>
  <c r="O32" i="3" s="1"/>
  <c r="H19" i="1"/>
  <c r="G28" i="1"/>
  <c r="C35" i="3"/>
  <c r="C37" i="3"/>
  <c r="O37" i="3" s="1"/>
  <c r="V28" i="3"/>
  <c r="V32" i="3" s="1"/>
  <c r="T32" i="3"/>
  <c r="T26" i="3"/>
  <c r="V22" i="3"/>
  <c r="O12" i="3"/>
  <c r="O21" i="3"/>
  <c r="O26" i="3" s="1"/>
  <c r="N26" i="3"/>
  <c r="N34" i="3" s="1"/>
  <c r="U21" i="3"/>
  <c r="U19" i="3"/>
  <c r="H27" i="1"/>
  <c r="H33" i="1" s="1"/>
  <c r="H28" i="1"/>
  <c r="V16" i="3"/>
  <c r="O19" i="3"/>
  <c r="G37" i="1"/>
  <c r="G45" i="1" s="1"/>
  <c r="G47" i="1" s="1"/>
  <c r="D45" i="1"/>
  <c r="O34" i="3" l="1"/>
  <c r="G29" i="1"/>
  <c r="T34" i="3"/>
  <c r="V21" i="3"/>
  <c r="V26" i="3" s="1"/>
  <c r="U26" i="3"/>
  <c r="U34" i="3" s="1"/>
  <c r="V19" i="3"/>
  <c r="V34" i="3"/>
</calcChain>
</file>

<file path=xl/sharedStrings.xml><?xml version="1.0" encoding="utf-8"?>
<sst xmlns="http://schemas.openxmlformats.org/spreadsheetml/2006/main" count="131" uniqueCount="80">
  <si>
    <t>General Long Term Obligations</t>
  </si>
  <si>
    <r>
      <t>(</t>
    </r>
    <r>
      <rPr>
        <b/>
        <sz val="10"/>
        <rFont val="Arial"/>
      </rPr>
      <t>footnotes to financial statements)</t>
    </r>
  </si>
  <si>
    <t>Total Obligations</t>
  </si>
  <si>
    <t>Balance</t>
  </si>
  <si>
    <t>June 30,</t>
  </si>
  <si>
    <t>Additions</t>
  </si>
  <si>
    <t>Deductions</t>
  </si>
  <si>
    <t>1997 current interest bonds</t>
  </si>
  <si>
    <t>1998 refunding bonds</t>
  </si>
  <si>
    <t>2001 general obligation building &amp; site</t>
  </si>
  <si>
    <t>Installment purchase contracts</t>
  </si>
  <si>
    <t>Totals</t>
  </si>
  <si>
    <t>Total Current Interest Bonds</t>
  </si>
  <si>
    <t>Interest rate</t>
  </si>
  <si>
    <t>%</t>
  </si>
  <si>
    <t>1998 Refunding</t>
  </si>
  <si>
    <t>2001 Unlimited tax general obligation</t>
  </si>
  <si>
    <t>Principal</t>
  </si>
  <si>
    <t>Interest</t>
  </si>
  <si>
    <t>Total</t>
  </si>
  <si>
    <t>Installment Contracts by Year</t>
  </si>
  <si>
    <t>Subtotal buses</t>
  </si>
  <si>
    <t>Glueck property</t>
  </si>
  <si>
    <t>Grand</t>
  </si>
  <si>
    <t xml:space="preserve"> </t>
  </si>
  <si>
    <t>2/11</t>
  </si>
  <si>
    <t>Bus loans</t>
  </si>
  <si>
    <t>F/Y ending</t>
  </si>
  <si>
    <t>2001 School Bldg &amp;</t>
  </si>
  <si>
    <t>P &amp; Int</t>
  </si>
  <si>
    <t>2003 Refunding</t>
  </si>
  <si>
    <t>1994 series B refunded</t>
  </si>
  <si>
    <t xml:space="preserve">     Subtotal</t>
  </si>
  <si>
    <t>Noncurrent</t>
  </si>
  <si>
    <t xml:space="preserve">    Total Bond</t>
  </si>
  <si>
    <t>4.25%-4.75%</t>
  </si>
  <si>
    <t>Less deferred amounts:</t>
  </si>
  <si>
    <t>Installment contracts</t>
  </si>
  <si>
    <t>Bond &amp; Installment Contract Payments by year</t>
  </si>
  <si>
    <t>Unpaid sick obligation</t>
  </si>
  <si>
    <t xml:space="preserve">Unpaid vacation </t>
  </si>
  <si>
    <t>5 Thomas 2005</t>
  </si>
  <si>
    <t>July 1,</t>
  </si>
  <si>
    <t>Amount</t>
  </si>
  <si>
    <t>Due within</t>
  </si>
  <si>
    <t>one year</t>
  </si>
  <si>
    <t>2005 Refunding</t>
  </si>
  <si>
    <t>2003 refunding bonds</t>
  </si>
  <si>
    <t>2005 refunding bonds</t>
  </si>
  <si>
    <t>3.0%-4.0%</t>
  </si>
  <si>
    <t xml:space="preserve">    2005 For refunding</t>
  </si>
  <si>
    <t xml:space="preserve">    2003 For issuance discounts 4,010</t>
  </si>
  <si>
    <t xml:space="preserve">    2005 For issuance discounts 24,778</t>
  </si>
  <si>
    <t xml:space="preserve">    2003 For refunding </t>
  </si>
  <si>
    <t xml:space="preserve">    Totals</t>
  </si>
  <si>
    <t>2005 Issue</t>
  </si>
  <si>
    <t>2005 general obligation building &amp; site</t>
  </si>
  <si>
    <t>2005 Unlimited tax general obligation</t>
  </si>
  <si>
    <t>x</t>
  </si>
  <si>
    <t xml:space="preserve">    05-06 For issuance Premium  424,500</t>
  </si>
  <si>
    <t>Payments to retirees</t>
  </si>
  <si>
    <t>Rate</t>
  </si>
  <si>
    <t>Accrual</t>
  </si>
  <si>
    <t>Period</t>
  </si>
  <si>
    <t>Accrued</t>
  </si>
  <si>
    <t>Installment Purchase</t>
  </si>
  <si>
    <t>Bus Loan</t>
  </si>
  <si>
    <t>Prior year</t>
  </si>
  <si>
    <t>h:/2006-07 Audit/Gen. Long-Term Oblig.</t>
  </si>
  <si>
    <t>Decrease</t>
  </si>
  <si>
    <t>Principal 11.1511.7160.TRP.0.000</t>
  </si>
  <si>
    <t>Interest expense 11.1259.7210.TRP.0.000</t>
  </si>
  <si>
    <t>4.25%-4.85%</t>
  </si>
  <si>
    <t>2.5%-3.6%</t>
  </si>
  <si>
    <t>3.0%-5%</t>
  </si>
  <si>
    <t>Rec of BS to Net Assets</t>
  </si>
  <si>
    <t>Expenses for st of activities</t>
  </si>
  <si>
    <t>Other obligations due within 1 year</t>
  </si>
  <si>
    <t>Other obligations due in more than 1 year</t>
  </si>
  <si>
    <t>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</si>
</sst>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7" formatCode="_(&quot;$&quot;* #,##0_);_(&quot;$&quot;* \(#,##0\);_(&quot;$&quot;* &quot;-&quot;??_);_(@_)"/>
  </numFmts>
  <fonts count="16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50"/>
      <name val="Arial"/>
      <family val="2"/>
    </font>
    <font>
      <sz val="10"/>
      <color indexed="53"/>
      <name val="Arial"/>
      <family val="2"/>
    </font>
    <font>
      <b/>
      <sz val="10"/>
      <color indexed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4" fontId="0" fillId="0" borderId="0" xfId="0" applyNumberFormat="1"/>
    <xf numFmtId="10" fontId="4" fillId="0" borderId="0" xfId="0" applyNumberFormat="1" applyFont="1" applyAlignment="1">
      <alignment horizontal="left"/>
    </xf>
    <xf numFmtId="43" fontId="0" fillId="0" borderId="0" xfId="1" applyFont="1"/>
    <xf numFmtId="43" fontId="0" fillId="0" borderId="1" xfId="1" applyFont="1" applyBorder="1"/>
    <xf numFmtId="0" fontId="0" fillId="0" borderId="1" xfId="0" applyBorder="1"/>
    <xf numFmtId="43" fontId="0" fillId="0" borderId="2" xfId="1" applyFont="1" applyBorder="1"/>
    <xf numFmtId="0" fontId="6" fillId="0" borderId="2" xfId="0" applyFont="1" applyBorder="1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0" fillId="0" borderId="0" xfId="0" applyAlignment="1">
      <alignment horizontal="centerContinuous"/>
    </xf>
    <xf numFmtId="9" fontId="0" fillId="0" borderId="0" xfId="0" applyNumberFormat="1" applyAlignment="1">
      <alignment horizontal="centerContinuous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Continuous"/>
    </xf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2" xfId="0" applyNumberFormat="1" applyBorder="1"/>
    <xf numFmtId="0" fontId="0" fillId="0" borderId="2" xfId="0" applyBorder="1"/>
    <xf numFmtId="0" fontId="6" fillId="0" borderId="0" xfId="0" applyFont="1" applyBorder="1"/>
    <xf numFmtId="0" fontId="1" fillId="0" borderId="0" xfId="0" applyFont="1" applyBorder="1"/>
    <xf numFmtId="0" fontId="7" fillId="0" borderId="0" xfId="0" applyFont="1"/>
    <xf numFmtId="44" fontId="5" fillId="0" borderId="0" xfId="0" applyNumberFormat="1" applyFont="1" applyBorder="1"/>
    <xf numFmtId="44" fontId="0" fillId="0" borderId="0" xfId="0" applyNumberFormat="1" applyBorder="1"/>
    <xf numFmtId="165" fontId="0" fillId="0" borderId="0" xfId="1" applyNumberFormat="1" applyFont="1" applyBorder="1"/>
    <xf numFmtId="165" fontId="0" fillId="0" borderId="3" xfId="1" applyNumberFormat="1" applyFont="1" applyBorder="1"/>
    <xf numFmtId="167" fontId="5" fillId="0" borderId="2" xfId="0" applyNumberFormat="1" applyFont="1" applyBorder="1"/>
    <xf numFmtId="167" fontId="5" fillId="0" borderId="0" xfId="0" applyNumberFormat="1" applyFont="1" applyBorder="1"/>
    <xf numFmtId="0" fontId="0" fillId="0" borderId="0" xfId="0" applyFill="1" applyBorder="1"/>
    <xf numFmtId="165" fontId="0" fillId="0" borderId="0" xfId="0" applyNumberFormat="1"/>
    <xf numFmtId="165" fontId="5" fillId="0" borderId="2" xfId="0" applyNumberFormat="1" applyFont="1" applyBorder="1"/>
    <xf numFmtId="165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165" fontId="0" fillId="0" borderId="1" xfId="0" applyNumberFormat="1" applyBorder="1"/>
    <xf numFmtId="167" fontId="5" fillId="0" borderId="4" xfId="0" applyNumberFormat="1" applyFont="1" applyBorder="1"/>
    <xf numFmtId="167" fontId="5" fillId="0" borderId="4" xfId="2" applyNumberFormat="1" applyFont="1" applyBorder="1"/>
    <xf numFmtId="16" fontId="0" fillId="0" borderId="0" xfId="0" applyNumberFormat="1"/>
    <xf numFmtId="165" fontId="0" fillId="0" borderId="0" xfId="1" applyNumberFormat="1" applyFont="1" applyFill="1" applyBorder="1"/>
    <xf numFmtId="16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5" fillId="0" borderId="0" xfId="0" applyNumberFormat="1" applyFont="1" applyBorder="1"/>
    <xf numFmtId="0" fontId="5" fillId="0" borderId="0" xfId="0" applyFont="1" applyFill="1" applyBorder="1"/>
    <xf numFmtId="10" fontId="0" fillId="0" borderId="0" xfId="0" applyNumberFormat="1" applyAlignment="1">
      <alignment horizontal="center"/>
    </xf>
    <xf numFmtId="0" fontId="5" fillId="0" borderId="0" xfId="0" applyFont="1"/>
    <xf numFmtId="10" fontId="0" fillId="0" borderId="0" xfId="0" applyNumberFormat="1"/>
    <xf numFmtId="10" fontId="0" fillId="0" borderId="0" xfId="0" applyNumberFormat="1" applyBorder="1"/>
    <xf numFmtId="10" fontId="0" fillId="0" borderId="0" xfId="0" applyNumberFormat="1" applyBorder="1" applyAlignment="1">
      <alignment horizontal="center"/>
    </xf>
    <xf numFmtId="10" fontId="0" fillId="0" borderId="0" xfId="2" applyNumberFormat="1" applyFont="1" applyBorder="1"/>
    <xf numFmtId="10" fontId="0" fillId="0" borderId="0" xfId="1" applyNumberFormat="1" applyFont="1" applyBorder="1"/>
    <xf numFmtId="10" fontId="5" fillId="0" borderId="0" xfId="1" applyNumberFormat="1" applyFont="1" applyBorder="1"/>
    <xf numFmtId="10" fontId="5" fillId="0" borderId="0" xfId="0" applyNumberFormat="1" applyFont="1" applyBorder="1"/>
    <xf numFmtId="10" fontId="5" fillId="0" borderId="0" xfId="1" applyNumberFormat="1" applyFont="1" applyFill="1" applyBorder="1"/>
    <xf numFmtId="0" fontId="6" fillId="0" borderId="0" xfId="0" applyFont="1"/>
    <xf numFmtId="165" fontId="5" fillId="0" borderId="0" xfId="1" applyNumberFormat="1" applyFont="1" applyBorder="1"/>
    <xf numFmtId="0" fontId="6" fillId="0" borderId="5" xfId="0" applyFont="1" applyBorder="1"/>
    <xf numFmtId="165" fontId="6" fillId="0" borderId="5" xfId="1" applyNumberFormat="1" applyFont="1" applyBorder="1"/>
    <xf numFmtId="165" fontId="8" fillId="0" borderId="0" xfId="1" applyNumberFormat="1" applyFont="1" applyBorder="1"/>
    <xf numFmtId="167" fontId="8" fillId="0" borderId="2" xfId="0" applyNumberFormat="1" applyFont="1" applyBorder="1"/>
    <xf numFmtId="165" fontId="9" fillId="0" borderId="0" xfId="1" applyNumberFormat="1" applyFont="1" applyBorder="1"/>
    <xf numFmtId="165" fontId="9" fillId="0" borderId="1" xfId="1" applyNumberFormat="1" applyFont="1" applyBorder="1"/>
    <xf numFmtId="165" fontId="10" fillId="0" borderId="0" xfId="0" applyNumberFormat="1" applyFont="1"/>
    <xf numFmtId="165" fontId="11" fillId="0" borderId="1" xfId="1" applyNumberFormat="1" applyFont="1" applyBorder="1"/>
    <xf numFmtId="165" fontId="11" fillId="0" borderId="0" xfId="1" applyNumberFormat="1" applyFont="1" applyBorder="1"/>
    <xf numFmtId="167" fontId="11" fillId="0" borderId="0" xfId="0" applyNumberFormat="1" applyFont="1" applyBorder="1"/>
    <xf numFmtId="44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/>
    <xf numFmtId="167" fontId="12" fillId="0" borderId="0" xfId="0" applyNumberFormat="1" applyFont="1" applyBorder="1" applyAlignment="1">
      <alignment horizontal="right"/>
    </xf>
    <xf numFmtId="165" fontId="13" fillId="0" borderId="5" xfId="1" applyNumberFormat="1" applyFont="1" applyBorder="1"/>
    <xf numFmtId="165" fontId="13" fillId="0" borderId="0" xfId="0" applyNumberFormat="1" applyFont="1" applyBorder="1"/>
    <xf numFmtId="44" fontId="13" fillId="0" borderId="0" xfId="0" applyNumberFormat="1" applyFont="1" applyBorder="1" applyAlignment="1">
      <alignment horizontal="right"/>
    </xf>
    <xf numFmtId="165" fontId="13" fillId="0" borderId="3" xfId="1" applyNumberFormat="1" applyFont="1" applyBorder="1"/>
    <xf numFmtId="165" fontId="14" fillId="0" borderId="3" xfId="1" applyNumberFormat="1" applyFont="1" applyBorder="1"/>
    <xf numFmtId="165" fontId="15" fillId="0" borderId="5" xfId="0" applyNumberFormat="1" applyFont="1" applyBorder="1"/>
    <xf numFmtId="0" fontId="14" fillId="0" borderId="0" xfId="0" applyFont="1" applyAlignment="1">
      <alignment horizontal="right"/>
    </xf>
    <xf numFmtId="165" fontId="14" fillId="0" borderId="0" xfId="0" applyNumberFormat="1" applyFont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2.75" x14ac:dyDescent="0.2"/>
  <cols>
    <col min="1" max="1" width="20.42578125" customWidth="1"/>
    <col min="2" max="2" width="15.42578125" customWidth="1"/>
    <col min="3" max="3" width="15.5703125" customWidth="1"/>
    <col min="4" max="6" width="16" customWidth="1"/>
    <col min="7" max="7" width="13.7109375" customWidth="1"/>
    <col min="8" max="8" width="15.140625" customWidth="1"/>
    <col min="9" max="9" width="11.28515625" bestFit="1" customWidth="1"/>
  </cols>
  <sheetData>
    <row r="1" spans="1:9" ht="15.75" x14ac:dyDescent="0.25">
      <c r="A1" s="2" t="s">
        <v>0</v>
      </c>
      <c r="B1" s="2"/>
      <c r="C1" t="s">
        <v>1</v>
      </c>
    </row>
    <row r="2" spans="1:9" x14ac:dyDescent="0.2">
      <c r="A2" s="32"/>
      <c r="B2" s="1"/>
    </row>
    <row r="3" spans="1:9" x14ac:dyDescent="0.2">
      <c r="A3" s="1" t="s">
        <v>2</v>
      </c>
      <c r="C3" s="3" t="s">
        <v>3</v>
      </c>
      <c r="F3" s="3" t="s">
        <v>3</v>
      </c>
      <c r="G3" s="3" t="s">
        <v>43</v>
      </c>
    </row>
    <row r="4" spans="1:9" x14ac:dyDescent="0.2">
      <c r="C4" s="4" t="s">
        <v>42</v>
      </c>
      <c r="F4" s="4" t="s">
        <v>4</v>
      </c>
      <c r="G4" s="3" t="s">
        <v>44</v>
      </c>
    </row>
    <row r="5" spans="1:9" s="5" customFormat="1" x14ac:dyDescent="0.2">
      <c r="C5" s="6">
        <v>2006</v>
      </c>
      <c r="D5" s="6" t="s">
        <v>5</v>
      </c>
      <c r="E5" s="6" t="s">
        <v>6</v>
      </c>
      <c r="F5" s="6">
        <v>2007</v>
      </c>
      <c r="G5" s="6" t="s">
        <v>45</v>
      </c>
      <c r="H5" s="6" t="s">
        <v>33</v>
      </c>
    </row>
    <row r="6" spans="1:9" x14ac:dyDescent="0.2">
      <c r="A6" t="s">
        <v>31</v>
      </c>
      <c r="C6" s="25">
        <v>1235000</v>
      </c>
      <c r="D6" s="9"/>
      <c r="E6" s="9">
        <v>1235000</v>
      </c>
      <c r="F6" s="25">
        <f t="shared" ref="F6:F12" si="0">SUM(C6+D6)-E6</f>
        <v>0</v>
      </c>
      <c r="G6" s="25">
        <v>0</v>
      </c>
      <c r="H6" s="25">
        <f t="shared" ref="H6:H12" si="1">+F6-G6</f>
        <v>0</v>
      </c>
    </row>
    <row r="7" spans="1:9" x14ac:dyDescent="0.2">
      <c r="A7" t="s">
        <v>7</v>
      </c>
      <c r="C7" s="25">
        <v>275000</v>
      </c>
      <c r="D7" s="25">
        <v>0</v>
      </c>
      <c r="E7" s="25">
        <v>275000</v>
      </c>
      <c r="F7" s="25">
        <f t="shared" si="0"/>
        <v>0</v>
      </c>
      <c r="G7" s="25">
        <v>0</v>
      </c>
      <c r="H7" s="35">
        <f t="shared" si="1"/>
        <v>0</v>
      </c>
    </row>
    <row r="8" spans="1:9" x14ac:dyDescent="0.2">
      <c r="A8" t="s">
        <v>8</v>
      </c>
      <c r="C8" s="25">
        <v>24195000</v>
      </c>
      <c r="D8" s="25">
        <v>0</v>
      </c>
      <c r="E8" s="25">
        <v>1700000</v>
      </c>
      <c r="F8" s="25">
        <f t="shared" si="0"/>
        <v>22495000</v>
      </c>
      <c r="G8" s="25">
        <v>2755000</v>
      </c>
      <c r="H8" s="35">
        <f t="shared" si="1"/>
        <v>19740000</v>
      </c>
    </row>
    <row r="9" spans="1:9" x14ac:dyDescent="0.2">
      <c r="A9" t="s">
        <v>9</v>
      </c>
      <c r="C9" s="25">
        <v>4800000</v>
      </c>
      <c r="D9" s="25">
        <v>0</v>
      </c>
      <c r="E9" s="25">
        <v>425000</v>
      </c>
      <c r="F9" s="25">
        <f t="shared" si="0"/>
        <v>4375000</v>
      </c>
      <c r="G9" s="25">
        <v>425000</v>
      </c>
      <c r="H9" s="35">
        <f t="shared" si="1"/>
        <v>3950000</v>
      </c>
    </row>
    <row r="10" spans="1:9" x14ac:dyDescent="0.2">
      <c r="A10" s="16" t="s">
        <v>47</v>
      </c>
      <c r="B10" s="16"/>
      <c r="C10" s="35">
        <v>2985000</v>
      </c>
      <c r="D10" s="35"/>
      <c r="E10" s="35">
        <v>65000</v>
      </c>
      <c r="F10" s="35">
        <f t="shared" si="0"/>
        <v>2920000</v>
      </c>
      <c r="G10" s="35">
        <v>440000</v>
      </c>
      <c r="H10" s="35">
        <f t="shared" si="1"/>
        <v>2480000</v>
      </c>
    </row>
    <row r="11" spans="1:9" x14ac:dyDescent="0.2">
      <c r="A11" s="39" t="s">
        <v>48</v>
      </c>
      <c r="B11" s="16"/>
      <c r="C11" s="35">
        <v>4670000</v>
      </c>
      <c r="D11" s="35"/>
      <c r="E11" s="35">
        <v>35000</v>
      </c>
      <c r="F11" s="35">
        <f t="shared" si="0"/>
        <v>4635000</v>
      </c>
      <c r="G11" s="35">
        <v>310000</v>
      </c>
      <c r="H11" s="35">
        <f t="shared" si="1"/>
        <v>4325000</v>
      </c>
    </row>
    <row r="12" spans="1:9" x14ac:dyDescent="0.2">
      <c r="A12" s="39" t="s">
        <v>56</v>
      </c>
      <c r="B12" s="16"/>
      <c r="C12" s="35">
        <v>16055000</v>
      </c>
      <c r="D12" s="35">
        <v>0</v>
      </c>
      <c r="E12" s="35">
        <v>530000</v>
      </c>
      <c r="F12" s="35">
        <f t="shared" si="0"/>
        <v>15525000</v>
      </c>
      <c r="G12" s="35">
        <v>625000</v>
      </c>
      <c r="H12" s="35">
        <f t="shared" si="1"/>
        <v>14900000</v>
      </c>
    </row>
    <row r="13" spans="1:9" x14ac:dyDescent="0.2">
      <c r="A13" s="11"/>
      <c r="B13" s="11"/>
      <c r="C13" s="26"/>
      <c r="D13" s="26"/>
      <c r="E13" s="26"/>
      <c r="F13" s="26"/>
      <c r="G13" s="26"/>
      <c r="H13" s="26"/>
    </row>
    <row r="14" spans="1:9" ht="13.5" thickBot="1" x14ac:dyDescent="0.25">
      <c r="A14" s="39" t="s">
        <v>34</v>
      </c>
      <c r="B14" s="16"/>
      <c r="C14" s="35">
        <f t="shared" ref="C14:H14" si="2">SUM(C6:C12)</f>
        <v>54215000</v>
      </c>
      <c r="D14" s="35">
        <f t="shared" si="2"/>
        <v>0</v>
      </c>
      <c r="E14" s="35">
        <f t="shared" si="2"/>
        <v>4265000</v>
      </c>
      <c r="F14" s="35">
        <f t="shared" si="2"/>
        <v>49950000</v>
      </c>
      <c r="G14" s="27">
        <f t="shared" si="2"/>
        <v>4555000</v>
      </c>
      <c r="H14" s="27">
        <f t="shared" si="2"/>
        <v>45395000</v>
      </c>
      <c r="I14" s="40" t="s">
        <v>24</v>
      </c>
    </row>
    <row r="15" spans="1:9" ht="13.5" thickTop="1" x14ac:dyDescent="0.2">
      <c r="A15" s="16"/>
      <c r="B15" s="16"/>
      <c r="C15" s="35"/>
      <c r="D15" s="35"/>
      <c r="E15" s="35"/>
      <c r="F15" s="35"/>
      <c r="H15" s="49"/>
    </row>
    <row r="16" spans="1:9" x14ac:dyDescent="0.2">
      <c r="A16" s="11" t="s">
        <v>10</v>
      </c>
      <c r="B16" s="11"/>
      <c r="C16" s="26">
        <v>343775</v>
      </c>
      <c r="D16" s="26">
        <v>0</v>
      </c>
      <c r="E16" s="26">
        <v>101515</v>
      </c>
      <c r="F16" s="73">
        <f>SUM(C16+D16)-E16</f>
        <v>242260</v>
      </c>
      <c r="G16" s="35">
        <v>101515</v>
      </c>
      <c r="H16" s="35">
        <f>+F16-G16</f>
        <v>140745</v>
      </c>
      <c r="I16" t="s">
        <v>24</v>
      </c>
    </row>
    <row r="17" spans="1:9" x14ac:dyDescent="0.2">
      <c r="A17" t="s">
        <v>32</v>
      </c>
      <c r="C17" s="25">
        <f>SUM(C14:C16)</f>
        <v>54558775</v>
      </c>
      <c r="D17" s="25">
        <f>SUM(D14:D16)</f>
        <v>0</v>
      </c>
      <c r="E17" s="25">
        <f>SUM(E14:E16)</f>
        <v>4366515</v>
      </c>
      <c r="F17" s="25">
        <f>SUM(F14:F16)</f>
        <v>50192260</v>
      </c>
      <c r="G17" s="25"/>
      <c r="H17" s="25"/>
    </row>
    <row r="18" spans="1:9" x14ac:dyDescent="0.2">
      <c r="C18" t="s">
        <v>58</v>
      </c>
      <c r="E18" t="s">
        <v>58</v>
      </c>
      <c r="F18" t="s">
        <v>58</v>
      </c>
    </row>
    <row r="19" spans="1:9" s="55" customFormat="1" x14ac:dyDescent="0.2">
      <c r="A19" s="55" t="s">
        <v>40</v>
      </c>
      <c r="C19" s="65">
        <v>197947</v>
      </c>
      <c r="D19" s="68">
        <f>235618-197947</f>
        <v>37671</v>
      </c>
      <c r="E19" s="65">
        <v>0</v>
      </c>
      <c r="F19" s="74">
        <f>SUM(C19+D19)-E19</f>
        <v>235618</v>
      </c>
      <c r="G19" s="65">
        <f>+F19</f>
        <v>235618</v>
      </c>
      <c r="H19" s="52">
        <f>+F19-G19</f>
        <v>0</v>
      </c>
      <c r="I19" s="55" t="s">
        <v>24</v>
      </c>
    </row>
    <row r="20" spans="1:9" s="55" customFormat="1" x14ac:dyDescent="0.2">
      <c r="A20" s="55" t="s">
        <v>39</v>
      </c>
      <c r="C20" s="65">
        <v>88420</v>
      </c>
      <c r="D20" s="68">
        <f>93670-88420</f>
        <v>5250</v>
      </c>
      <c r="E20" s="65"/>
      <c r="F20" s="74">
        <f>SUM(C20+D20)-E20</f>
        <v>93670</v>
      </c>
      <c r="G20" s="65">
        <f>+F20*0.1</f>
        <v>9367</v>
      </c>
      <c r="H20" s="52">
        <f>+F20-G20</f>
        <v>84303</v>
      </c>
      <c r="I20" s="55" t="s">
        <v>24</v>
      </c>
    </row>
    <row r="21" spans="1:9" x14ac:dyDescent="0.2">
      <c r="A21" t="s">
        <v>36</v>
      </c>
      <c r="C21" s="35"/>
      <c r="D21" s="35"/>
      <c r="E21" s="35"/>
      <c r="F21" s="74"/>
      <c r="G21" s="35"/>
      <c r="H21" s="42"/>
    </row>
    <row r="22" spans="1:9" x14ac:dyDescent="0.2">
      <c r="A22" t="s">
        <v>51</v>
      </c>
      <c r="C22" s="35">
        <v>-1850</v>
      </c>
      <c r="D22" s="35"/>
      <c r="E22" s="70">
        <v>-411</v>
      </c>
      <c r="F22" s="74">
        <f>SUM(C22+D22)-E22</f>
        <v>-1439</v>
      </c>
      <c r="G22" s="35">
        <v>0</v>
      </c>
      <c r="H22" s="42">
        <f>+F22-G22</f>
        <v>-1439</v>
      </c>
      <c r="I22" t="s">
        <v>24</v>
      </c>
    </row>
    <row r="23" spans="1:9" x14ac:dyDescent="0.2">
      <c r="A23" t="s">
        <v>52</v>
      </c>
      <c r="C23" s="35">
        <v>-17971</v>
      </c>
      <c r="D23" s="35"/>
      <c r="E23" s="70">
        <v>-2995</v>
      </c>
      <c r="F23" s="74">
        <f>SUM(C23+D23)-E23</f>
        <v>-14976</v>
      </c>
      <c r="G23" s="35"/>
      <c r="H23" s="42">
        <f>+F23-G23</f>
        <v>-14976</v>
      </c>
      <c r="I23" t="s">
        <v>24</v>
      </c>
    </row>
    <row r="24" spans="1:9" x14ac:dyDescent="0.2">
      <c r="A24" t="s">
        <v>59</v>
      </c>
      <c r="C24" s="35">
        <v>384071</v>
      </c>
      <c r="D24" s="35">
        <v>0</v>
      </c>
      <c r="E24" s="70">
        <v>38407</v>
      </c>
      <c r="F24" s="74">
        <f>SUM(C24+D24)-E24</f>
        <v>345664</v>
      </c>
      <c r="G24" s="35"/>
      <c r="H24" s="42">
        <f>+F24-G24</f>
        <v>345664</v>
      </c>
      <c r="I24" t="s">
        <v>24</v>
      </c>
    </row>
    <row r="25" spans="1:9" x14ac:dyDescent="0.2">
      <c r="A25" s="16" t="s">
        <v>53</v>
      </c>
      <c r="B25" s="35">
        <v>168387</v>
      </c>
      <c r="C25" s="35">
        <v>-77717</v>
      </c>
      <c r="D25" s="35"/>
      <c r="E25" s="70">
        <v>-17270</v>
      </c>
      <c r="F25" s="74">
        <f>SUM(C25+D25)-E25</f>
        <v>-60447</v>
      </c>
      <c r="G25" s="35">
        <v>0</v>
      </c>
      <c r="H25" s="42">
        <f>+F25-G25</f>
        <v>-60447</v>
      </c>
      <c r="I25" t="s">
        <v>24</v>
      </c>
    </row>
    <row r="26" spans="1:9" x14ac:dyDescent="0.2">
      <c r="A26" s="11" t="s">
        <v>50</v>
      </c>
      <c r="B26" s="26">
        <v>220000</v>
      </c>
      <c r="C26" s="26">
        <v>-159560</v>
      </c>
      <c r="D26" s="26">
        <v>0</v>
      </c>
      <c r="E26" s="71">
        <v>-26593</v>
      </c>
      <c r="F26" s="73">
        <f>SUM(C26+D26)-E26</f>
        <v>-132967</v>
      </c>
      <c r="G26" s="26"/>
      <c r="H26" s="45">
        <f>+F26-G26</f>
        <v>-132967</v>
      </c>
      <c r="I26" t="s">
        <v>24</v>
      </c>
    </row>
    <row r="27" spans="1:9" s="5" customFormat="1" ht="13.5" thickBot="1" x14ac:dyDescent="0.25">
      <c r="A27" s="13" t="s">
        <v>11</v>
      </c>
      <c r="B27" s="13"/>
      <c r="C27" s="37">
        <f>SUM(C17:C26)</f>
        <v>54972115</v>
      </c>
      <c r="D27" s="69">
        <f>SUM(D17:D26)</f>
        <v>42921</v>
      </c>
      <c r="E27" s="37">
        <f>SUM(E17:E26)</f>
        <v>4357653</v>
      </c>
      <c r="F27" s="46">
        <f>SUM(F17:F26)</f>
        <v>50657383</v>
      </c>
      <c r="G27" s="82">
        <f>SUM(G16:G26)</f>
        <v>346500</v>
      </c>
      <c r="H27" s="83">
        <f>SUM(H16:H26)</f>
        <v>360883</v>
      </c>
    </row>
    <row r="28" spans="1:9" s="5" customFormat="1" ht="14.25" thickTop="1" thickBot="1" x14ac:dyDescent="0.25">
      <c r="A28" s="30" t="s">
        <v>54</v>
      </c>
      <c r="B28" s="30"/>
      <c r="C28" s="38"/>
      <c r="D28" s="78" t="s">
        <v>76</v>
      </c>
      <c r="E28" s="77">
        <f>+E22+E23+E24+E25+E26</f>
        <v>-8862</v>
      </c>
      <c r="F28" s="38"/>
      <c r="G28" s="47">
        <f>+G14+G27</f>
        <v>4901500</v>
      </c>
      <c r="H28" s="47">
        <f>+H14+H27</f>
        <v>45755883</v>
      </c>
    </row>
    <row r="29" spans="1:9" s="5" customFormat="1" ht="14.25" thickTop="1" thickBot="1" x14ac:dyDescent="0.25">
      <c r="A29" s="30"/>
      <c r="B29" s="30"/>
      <c r="C29" s="33"/>
      <c r="D29" s="33"/>
      <c r="E29" s="76" t="s">
        <v>75</v>
      </c>
      <c r="F29" s="75">
        <f>+F16+F19+F20+F22+F23+F24+F25+F26</f>
        <v>707383</v>
      </c>
      <c r="G29" s="41">
        <f>SUM(G28:H28)</f>
        <v>50657383</v>
      </c>
    </row>
    <row r="30" spans="1:9" s="5" customFormat="1" ht="13.5" thickTop="1" x14ac:dyDescent="0.2">
      <c r="A30" s="30"/>
      <c r="B30" s="30"/>
      <c r="C30" s="33"/>
      <c r="D30" s="33"/>
      <c r="E30" s="33"/>
      <c r="F30" s="33"/>
      <c r="G30" s="52"/>
    </row>
    <row r="31" spans="1:9" s="64" customFormat="1" ht="13.5" thickBot="1" x14ac:dyDescent="0.25">
      <c r="A31" s="66" t="s">
        <v>60</v>
      </c>
      <c r="B31" s="66"/>
      <c r="C31" s="67">
        <v>2280118</v>
      </c>
      <c r="D31" s="67"/>
      <c r="E31" s="67">
        <v>63242</v>
      </c>
      <c r="F31" s="67">
        <f>SUM(C31+D31)-E31</f>
        <v>2216876</v>
      </c>
      <c r="G31" s="79">
        <v>496238</v>
      </c>
      <c r="H31" s="84">
        <f>+F31-G31</f>
        <v>1720638</v>
      </c>
    </row>
    <row r="32" spans="1:9" s="5" customFormat="1" x14ac:dyDescent="0.2">
      <c r="A32" s="30"/>
      <c r="B32" s="30"/>
      <c r="C32" s="33"/>
      <c r="D32" s="33"/>
      <c r="E32" s="33"/>
      <c r="F32" s="81" t="s">
        <v>77</v>
      </c>
      <c r="G32" s="80">
        <f>+G27+G31</f>
        <v>842738</v>
      </c>
    </row>
    <row r="33" spans="1:8" x14ac:dyDescent="0.2">
      <c r="A33" s="1" t="s">
        <v>12</v>
      </c>
      <c r="D33" s="23"/>
      <c r="E33" s="23"/>
      <c r="G33" s="85" t="s">
        <v>78</v>
      </c>
      <c r="H33" s="86">
        <f>+H27+H31</f>
        <v>2081521</v>
      </c>
    </row>
    <row r="34" spans="1:8" x14ac:dyDescent="0.2">
      <c r="C34" s="3" t="s">
        <v>13</v>
      </c>
      <c r="D34" s="50"/>
      <c r="E34" s="50" t="s">
        <v>62</v>
      </c>
      <c r="F34" s="3" t="s">
        <v>18</v>
      </c>
      <c r="G34" s="3" t="s">
        <v>64</v>
      </c>
    </row>
    <row r="35" spans="1:8" s="5" customFormat="1" x14ac:dyDescent="0.2">
      <c r="C35" s="20" t="s">
        <v>14</v>
      </c>
      <c r="D35" s="51" t="s">
        <v>3</v>
      </c>
      <c r="E35" s="51" t="s">
        <v>63</v>
      </c>
      <c r="F35" s="51" t="s">
        <v>61</v>
      </c>
      <c r="G35" s="6" t="s">
        <v>18</v>
      </c>
    </row>
    <row r="36" spans="1:8" x14ac:dyDescent="0.2">
      <c r="C36" s="3"/>
      <c r="D36" s="25"/>
      <c r="F36" s="59"/>
      <c r="G36" s="25"/>
    </row>
    <row r="37" spans="1:8" x14ac:dyDescent="0.2">
      <c r="A37" t="s">
        <v>15</v>
      </c>
      <c r="C37" s="3" t="s">
        <v>72</v>
      </c>
      <c r="D37" s="25">
        <f>+F8</f>
        <v>22495000</v>
      </c>
      <c r="E37">
        <v>2</v>
      </c>
      <c r="F37" s="60">
        <v>4.2500000000000003E-2</v>
      </c>
      <c r="G37" s="25">
        <f t="shared" ref="G37:G44" si="3">+D37*F37*E37/12</f>
        <v>159339.58333333334</v>
      </c>
    </row>
    <row r="38" spans="1:8" s="5" customFormat="1" x14ac:dyDescent="0.2">
      <c r="A38" s="22" t="s">
        <v>16</v>
      </c>
      <c r="B38" s="22"/>
      <c r="C38" s="3" t="s">
        <v>35</v>
      </c>
      <c r="D38" s="25">
        <f>+F9</f>
        <v>4375000</v>
      </c>
      <c r="E38" s="5">
        <v>2</v>
      </c>
      <c r="F38" s="61">
        <v>4.2500000000000003E-2</v>
      </c>
      <c r="G38" s="25">
        <f t="shared" si="3"/>
        <v>30989.583333333332</v>
      </c>
    </row>
    <row r="39" spans="1:8" s="5" customFormat="1" x14ac:dyDescent="0.2">
      <c r="A39" s="22" t="s">
        <v>30</v>
      </c>
      <c r="B39" s="22"/>
      <c r="C39" s="3" t="s">
        <v>73</v>
      </c>
      <c r="D39" s="25">
        <f>+F10</f>
        <v>2920000</v>
      </c>
      <c r="E39" s="5">
        <v>2</v>
      </c>
      <c r="F39" s="61">
        <v>2.5000000000000001E-2</v>
      </c>
      <c r="G39" s="25">
        <f t="shared" si="3"/>
        <v>12166.666666666666</v>
      </c>
    </row>
    <row r="40" spans="1:8" x14ac:dyDescent="0.2">
      <c r="A40" s="22" t="s">
        <v>46</v>
      </c>
      <c r="B40" s="30"/>
      <c r="C40" s="3" t="s">
        <v>49</v>
      </c>
      <c r="D40" s="25">
        <f>+F11</f>
        <v>4635000</v>
      </c>
      <c r="E40">
        <v>2</v>
      </c>
      <c r="F40" s="62">
        <v>0.03</v>
      </c>
      <c r="G40" s="25">
        <f t="shared" si="3"/>
        <v>23175</v>
      </c>
    </row>
    <row r="41" spans="1:8" x14ac:dyDescent="0.2">
      <c r="A41" s="53" t="s">
        <v>57</v>
      </c>
      <c r="B41" s="30"/>
      <c r="C41" s="3" t="s">
        <v>74</v>
      </c>
      <c r="D41" s="25">
        <f>+F12</f>
        <v>15525000</v>
      </c>
      <c r="E41">
        <v>2</v>
      </c>
      <c r="F41" s="62">
        <v>0.03</v>
      </c>
      <c r="G41" s="25">
        <f t="shared" si="3"/>
        <v>77625</v>
      </c>
    </row>
    <row r="42" spans="1:8" x14ac:dyDescent="0.2">
      <c r="A42" s="30"/>
      <c r="B42" s="30"/>
      <c r="C42" s="21"/>
      <c r="D42" s="40"/>
      <c r="F42" s="63"/>
      <c r="G42" s="25"/>
    </row>
    <row r="43" spans="1:8" x14ac:dyDescent="0.2">
      <c r="A43" s="55" t="s">
        <v>65</v>
      </c>
      <c r="B43" s="1"/>
      <c r="C43" s="54">
        <v>0.06</v>
      </c>
      <c r="D43" s="25">
        <v>54600</v>
      </c>
      <c r="E43">
        <v>4.5</v>
      </c>
      <c r="F43" s="56">
        <v>0.06</v>
      </c>
      <c r="G43" s="25">
        <f t="shared" si="3"/>
        <v>1228.5</v>
      </c>
      <c r="H43" s="7"/>
    </row>
    <row r="44" spans="1:8" x14ac:dyDescent="0.2">
      <c r="A44" s="22" t="s">
        <v>66</v>
      </c>
      <c r="B44" s="31"/>
      <c r="C44" s="58">
        <v>3.15E-2</v>
      </c>
      <c r="D44" s="26">
        <v>187660</v>
      </c>
      <c r="E44">
        <v>9.5</v>
      </c>
      <c r="F44" s="57">
        <v>3.15E-2</v>
      </c>
      <c r="G44" s="26">
        <f t="shared" si="3"/>
        <v>4679.7712499999998</v>
      </c>
    </row>
    <row r="45" spans="1:8" x14ac:dyDescent="0.2">
      <c r="A45" s="32"/>
      <c r="B45" s="31"/>
      <c r="C45" s="16"/>
      <c r="D45" s="40">
        <f>SUM(D36:D44)</f>
        <v>50192260</v>
      </c>
      <c r="E45" s="34"/>
      <c r="F45" s="34"/>
      <c r="G45" s="40">
        <f>SUM(G36:G44)</f>
        <v>309204.10458333336</v>
      </c>
    </row>
    <row r="46" spans="1:8" x14ac:dyDescent="0.2">
      <c r="A46" s="31"/>
      <c r="B46" s="31"/>
      <c r="C46" s="16"/>
      <c r="D46" s="34"/>
      <c r="E46" s="34"/>
      <c r="F46" s="34"/>
      <c r="G46" s="26">
        <v>337966</v>
      </c>
      <c r="H46" t="s">
        <v>67</v>
      </c>
    </row>
    <row r="47" spans="1:8" x14ac:dyDescent="0.2">
      <c r="A47" s="31"/>
      <c r="B47" s="31"/>
      <c r="C47" s="16"/>
      <c r="D47" s="34"/>
      <c r="E47" s="34"/>
      <c r="F47" s="34"/>
      <c r="G47" s="72">
        <f>+G45-G46</f>
        <v>-28761.895416666637</v>
      </c>
      <c r="H47" t="s">
        <v>69</v>
      </c>
    </row>
    <row r="48" spans="1:8" x14ac:dyDescent="0.2">
      <c r="A48" s="31"/>
      <c r="B48" s="31"/>
      <c r="C48" s="16"/>
      <c r="D48" s="34"/>
      <c r="E48" s="34"/>
      <c r="F48" s="34"/>
    </row>
    <row r="49" spans="3:3" x14ac:dyDescent="0.2">
      <c r="C49" s="8"/>
    </row>
    <row r="50" spans="3:3" ht="12.75" customHeight="1" x14ac:dyDescent="0.2"/>
    <row r="51" spans="3:3" ht="12.75" customHeight="1" x14ac:dyDescent="0.2"/>
    <row r="52" spans="3:3" ht="12.75" customHeight="1" x14ac:dyDescent="0.2"/>
    <row r="53" spans="3:3" ht="12.75" customHeight="1" x14ac:dyDescent="0.2"/>
    <row r="54" spans="3:3" ht="12.75" customHeight="1" x14ac:dyDescent="0.2"/>
    <row r="55" spans="3:3" ht="12.75" customHeight="1" x14ac:dyDescent="0.2"/>
    <row r="56" spans="3:3" ht="12.75" customHeight="1" x14ac:dyDescent="0.2"/>
    <row r="57" spans="3:3" ht="12.75" customHeight="1" x14ac:dyDescent="0.2"/>
    <row r="58" spans="3:3" ht="12.75" customHeight="1" x14ac:dyDescent="0.2"/>
  </sheetData>
  <phoneticPr fontId="0" type="noConversion"/>
  <pageMargins left="0.5" right="0.25" top="0.5" bottom="0" header="0.5" footer="0.25"/>
  <pageSetup scale="96" fitToHeight="2" orientation="landscape" horizontalDpi="300" verticalDpi="300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2.75" x14ac:dyDescent="0.2"/>
  <cols>
    <col min="2" max="2" width="1.28515625" customWidth="1"/>
    <col min="3" max="8" width="12.7109375" customWidth="1"/>
    <col min="9" max="9" width="13.7109375" customWidth="1"/>
    <col min="10" max="24" width="12.7109375" customWidth="1"/>
    <col min="25" max="48" width="10.7109375" customWidth="1"/>
  </cols>
  <sheetData>
    <row r="1" spans="1:48" x14ac:dyDescent="0.2">
      <c r="A1" t="s">
        <v>79</v>
      </c>
    </row>
    <row r="2" spans="1:48" x14ac:dyDescent="0.2">
      <c r="A2" t="s">
        <v>20</v>
      </c>
    </row>
    <row r="3" spans="1:48" x14ac:dyDescent="0.2">
      <c r="A3" s="14">
        <v>39263</v>
      </c>
    </row>
    <row r="8" spans="1:48" x14ac:dyDescent="0.2">
      <c r="C8" s="87">
        <v>3.15E-2</v>
      </c>
      <c r="D8" s="88"/>
      <c r="G8" s="19">
        <v>0.06</v>
      </c>
      <c r="H8" s="18"/>
    </row>
    <row r="9" spans="1:48" x14ac:dyDescent="0.2">
      <c r="C9" s="88" t="s">
        <v>41</v>
      </c>
      <c r="D9" s="88"/>
      <c r="E9" s="18" t="s">
        <v>21</v>
      </c>
      <c r="F9" s="18"/>
      <c r="G9" s="18" t="s">
        <v>22</v>
      </c>
      <c r="H9" s="18"/>
      <c r="I9" s="18" t="s">
        <v>19</v>
      </c>
      <c r="J9" s="18"/>
      <c r="K9" s="18" t="s">
        <v>23</v>
      </c>
    </row>
    <row r="10" spans="1:48" x14ac:dyDescent="0.2">
      <c r="C10" s="15" t="s">
        <v>17</v>
      </c>
      <c r="D10" s="15" t="s">
        <v>18</v>
      </c>
      <c r="E10" s="15" t="s">
        <v>17</v>
      </c>
      <c r="F10" s="15" t="s">
        <v>18</v>
      </c>
      <c r="G10" s="15" t="s">
        <v>17</v>
      </c>
      <c r="H10" s="15" t="s">
        <v>18</v>
      </c>
      <c r="I10" s="15" t="s">
        <v>17</v>
      </c>
      <c r="J10" s="15" t="s">
        <v>18</v>
      </c>
      <c r="K10" s="15" t="s">
        <v>19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48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 x14ac:dyDescent="0.2">
      <c r="A12">
        <v>2008</v>
      </c>
      <c r="B12" s="9"/>
      <c r="C12" s="9">
        <v>46915</v>
      </c>
      <c r="D12" s="9">
        <v>5911.29</v>
      </c>
      <c r="E12" s="9">
        <f t="shared" ref="E12:F15" si="0">+C12</f>
        <v>46915</v>
      </c>
      <c r="F12" s="9">
        <f t="shared" si="0"/>
        <v>5911.29</v>
      </c>
      <c r="G12" s="9">
        <v>54600</v>
      </c>
      <c r="H12" s="9">
        <v>3276</v>
      </c>
      <c r="I12" s="9">
        <f t="shared" ref="I12:J15" si="1">+E12+G12</f>
        <v>101515</v>
      </c>
      <c r="J12" s="9">
        <f t="shared" si="1"/>
        <v>9187.2900000000009</v>
      </c>
      <c r="K12" s="9">
        <f>+I12+J12</f>
        <v>110702.29000000001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 x14ac:dyDescent="0.2">
      <c r="A13">
        <v>2009</v>
      </c>
      <c r="B13" s="9"/>
      <c r="C13" s="9">
        <v>46915</v>
      </c>
      <c r="D13" s="9">
        <v>4433.47</v>
      </c>
      <c r="E13" s="9">
        <f t="shared" si="0"/>
        <v>46915</v>
      </c>
      <c r="F13" s="9">
        <f t="shared" si="0"/>
        <v>4433.47</v>
      </c>
      <c r="G13" s="9"/>
      <c r="H13" s="9"/>
      <c r="I13" s="9">
        <f t="shared" si="1"/>
        <v>46915</v>
      </c>
      <c r="J13" s="9">
        <f t="shared" si="1"/>
        <v>4433.47</v>
      </c>
      <c r="K13" s="9">
        <f>+I13+J13</f>
        <v>51348.47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x14ac:dyDescent="0.2">
      <c r="A14">
        <v>2010</v>
      </c>
      <c r="B14" s="9"/>
      <c r="C14" s="9">
        <v>46915</v>
      </c>
      <c r="D14" s="9">
        <v>2955.65</v>
      </c>
      <c r="E14" s="9">
        <f t="shared" si="0"/>
        <v>46915</v>
      </c>
      <c r="F14" s="9">
        <f t="shared" si="0"/>
        <v>2955.65</v>
      </c>
      <c r="G14" s="9"/>
      <c r="H14" s="9"/>
      <c r="I14" s="9">
        <f t="shared" si="1"/>
        <v>46915</v>
      </c>
      <c r="J14" s="9">
        <f t="shared" si="1"/>
        <v>2955.65</v>
      </c>
      <c r="K14" s="9">
        <f>+I14+J14</f>
        <v>49870.65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x14ac:dyDescent="0.2">
      <c r="A15">
        <v>2011</v>
      </c>
      <c r="B15" s="9"/>
      <c r="C15" s="9">
        <v>46915</v>
      </c>
      <c r="D15" s="9">
        <v>1477.82</v>
      </c>
      <c r="E15" s="9">
        <f t="shared" si="0"/>
        <v>46915</v>
      </c>
      <c r="F15" s="9">
        <f t="shared" si="0"/>
        <v>1477.82</v>
      </c>
      <c r="G15" s="9"/>
      <c r="H15" s="9"/>
      <c r="I15" s="9">
        <f t="shared" si="1"/>
        <v>46915</v>
      </c>
      <c r="J15" s="9">
        <f t="shared" si="1"/>
        <v>1477.82</v>
      </c>
      <c r="K15" s="9">
        <f>+I15+J15</f>
        <v>48392.82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x14ac:dyDescent="0.2">
      <c r="A16" s="16"/>
      <c r="B16" s="17"/>
      <c r="C16" s="10"/>
      <c r="D16" s="10"/>
      <c r="E16" s="10"/>
      <c r="F16" s="10"/>
      <c r="G16" s="10"/>
      <c r="H16" s="10"/>
      <c r="I16" s="10"/>
      <c r="J16" s="10"/>
      <c r="K16" s="10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13.5" thickBot="1" x14ac:dyDescent="0.25">
      <c r="B17" s="9"/>
      <c r="C17" s="12">
        <f>SUM(C12:C16)</f>
        <v>187660</v>
      </c>
      <c r="D17" s="12">
        <f>SUM(D12:D16)</f>
        <v>14778.23</v>
      </c>
      <c r="E17" s="12">
        <f t="shared" ref="E17:K17" si="2">SUM(E11:E16)</f>
        <v>187660</v>
      </c>
      <c r="F17" s="12">
        <f t="shared" si="2"/>
        <v>14778.23</v>
      </c>
      <c r="G17" s="12">
        <f t="shared" si="2"/>
        <v>54600</v>
      </c>
      <c r="H17" s="12">
        <f t="shared" si="2"/>
        <v>3276</v>
      </c>
      <c r="I17" s="12">
        <f t="shared" si="2"/>
        <v>242260</v>
      </c>
      <c r="J17" s="12">
        <f t="shared" si="2"/>
        <v>18054.230000000003</v>
      </c>
      <c r="K17" s="12">
        <f t="shared" si="2"/>
        <v>260314.23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13.5" thickTop="1" x14ac:dyDescent="0.2">
      <c r="B18" s="9"/>
      <c r="C18" s="9">
        <f>SUM(C17:D17)</f>
        <v>202438.23</v>
      </c>
      <c r="D18" s="9"/>
      <c r="E18" s="9">
        <f>+E17+F17</f>
        <v>202438.23</v>
      </c>
      <c r="F18" s="9"/>
      <c r="G18" s="9">
        <f>+G17+H17</f>
        <v>57876</v>
      </c>
      <c r="H18" s="9"/>
      <c r="I18" s="9">
        <f>+I17+J17</f>
        <v>260314.23</v>
      </c>
      <c r="J18" s="9"/>
      <c r="K18" s="9" t="s">
        <v>24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x14ac:dyDescent="0.2">
      <c r="B19" s="9"/>
      <c r="C19" s="48">
        <v>38243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x14ac:dyDescent="0.2">
      <c r="B20" s="9"/>
      <c r="C20" s="9"/>
      <c r="D20" s="9"/>
      <c r="G20" s="24" t="s">
        <v>25</v>
      </c>
      <c r="H20" s="1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 x14ac:dyDescent="0.2">
      <c r="A23" t="s">
        <v>26</v>
      </c>
      <c r="C23" t="s">
        <v>70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 x14ac:dyDescent="0.2">
      <c r="C24" t="s">
        <v>71</v>
      </c>
    </row>
    <row r="26" spans="1:48" x14ac:dyDescent="0.2">
      <c r="A26" s="16"/>
      <c r="B26" s="16"/>
      <c r="C26" s="17"/>
      <c r="D26" s="17"/>
      <c r="E26" t="s">
        <v>24</v>
      </c>
    </row>
    <row r="27" spans="1:48" x14ac:dyDescent="0.2">
      <c r="A27" s="16"/>
      <c r="B27" s="16"/>
      <c r="C27" s="17"/>
      <c r="D27" s="17"/>
    </row>
    <row r="28" spans="1:48" x14ac:dyDescent="0.2">
      <c r="A28" s="16"/>
      <c r="B28" s="16"/>
      <c r="C28" s="17"/>
      <c r="D28" s="17"/>
    </row>
    <row r="29" spans="1:48" x14ac:dyDescent="0.2">
      <c r="A29" s="16"/>
      <c r="B29" s="16"/>
      <c r="C29" s="17"/>
      <c r="D29" s="17"/>
    </row>
    <row r="30" spans="1:48" x14ac:dyDescent="0.2">
      <c r="A30" s="16"/>
      <c r="B30" s="16"/>
      <c r="C30" s="17"/>
      <c r="D30" s="17"/>
    </row>
    <row r="31" spans="1:48" x14ac:dyDescent="0.2">
      <c r="A31" s="16"/>
      <c r="B31" s="16"/>
      <c r="C31" s="17"/>
      <c r="D31" s="17"/>
    </row>
    <row r="32" spans="1:48" x14ac:dyDescent="0.2">
      <c r="A32" s="16"/>
      <c r="B32" s="16"/>
      <c r="C32" s="17"/>
      <c r="D32" s="17"/>
    </row>
    <row r="34" spans="1:1" x14ac:dyDescent="0.2">
      <c r="A34" s="32" t="s">
        <v>68</v>
      </c>
    </row>
  </sheetData>
  <mergeCells count="2">
    <mergeCell ref="C8:D8"/>
    <mergeCell ref="C9:D9"/>
  </mergeCells>
  <phoneticPr fontId="0" type="noConversion"/>
  <pageMargins left="0.25" right="0.25" top="1" bottom="1" header="0.5" footer="0.5"/>
  <pageSetup orientation="landscape" horizontalDpi="300" verticalDpi="300" r:id="rId1"/>
  <headerFooter alignWithMargins="0">
    <oddHeader>&amp;C&amp;A</oddHeader>
    <oddFooter>&amp;L&amp;F&amp;CPage &amp;P&amp;R&amp;D&amp;T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"/>
  <sheetViews>
    <sheetView tabSelected="1" topLeftCell="B1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G12" sqref="G12"/>
    </sheetView>
  </sheetViews>
  <sheetFormatPr defaultRowHeight="12.75" x14ac:dyDescent="0.2"/>
  <cols>
    <col min="1" max="1" width="2.85546875" customWidth="1"/>
    <col min="2" max="2" width="10.5703125" customWidth="1"/>
    <col min="3" max="15" width="11.7109375" customWidth="1"/>
    <col min="16" max="16" width="6.7109375" customWidth="1"/>
    <col min="17" max="22" width="11.7109375" customWidth="1"/>
  </cols>
  <sheetData>
    <row r="1" spans="2:22" x14ac:dyDescent="0.2">
      <c r="B1" t="s">
        <v>79</v>
      </c>
    </row>
    <row r="2" spans="2:22" x14ac:dyDescent="0.2">
      <c r="B2" t="s">
        <v>38</v>
      </c>
    </row>
    <row r="3" spans="2:22" x14ac:dyDescent="0.2">
      <c r="B3" s="14">
        <v>39263</v>
      </c>
    </row>
    <row r="4" spans="2:22" x14ac:dyDescent="0.2">
      <c r="C4" s="90"/>
      <c r="D4" s="90"/>
    </row>
    <row r="5" spans="2:22" ht="13.5" thickBot="1" x14ac:dyDescent="0.25">
      <c r="B5" s="3" t="s">
        <v>27</v>
      </c>
      <c r="C5" s="88" t="s">
        <v>46</v>
      </c>
      <c r="D5" s="88"/>
      <c r="E5" s="18" t="s">
        <v>15</v>
      </c>
      <c r="F5" s="18"/>
      <c r="G5" s="90" t="s">
        <v>28</v>
      </c>
      <c r="H5" s="90"/>
      <c r="I5" s="88" t="s">
        <v>30</v>
      </c>
      <c r="J5" s="88"/>
      <c r="K5" s="90" t="s">
        <v>55</v>
      </c>
      <c r="L5" s="90"/>
      <c r="M5" s="91" t="s">
        <v>19</v>
      </c>
      <c r="N5" s="91"/>
      <c r="O5" s="91"/>
      <c r="P5" s="23"/>
      <c r="Q5" s="90" t="s">
        <v>37</v>
      </c>
      <c r="R5" s="90"/>
      <c r="S5" s="90"/>
      <c r="T5" s="89" t="s">
        <v>19</v>
      </c>
      <c r="U5" s="89"/>
      <c r="V5" s="89"/>
    </row>
    <row r="6" spans="2:22" x14ac:dyDescent="0.2">
      <c r="B6" s="15" t="s">
        <v>4</v>
      </c>
      <c r="C6" s="15" t="s">
        <v>17</v>
      </c>
      <c r="D6" s="15" t="s">
        <v>18</v>
      </c>
      <c r="E6" s="15" t="s">
        <v>17</v>
      </c>
      <c r="F6" s="15" t="s">
        <v>18</v>
      </c>
      <c r="G6" s="15" t="s">
        <v>17</v>
      </c>
      <c r="H6" s="15" t="s">
        <v>18</v>
      </c>
      <c r="I6" s="15" t="s">
        <v>17</v>
      </c>
      <c r="J6" s="15" t="s">
        <v>18</v>
      </c>
      <c r="K6" s="15" t="s">
        <v>17</v>
      </c>
      <c r="L6" s="15" t="s">
        <v>18</v>
      </c>
      <c r="M6" s="15" t="s">
        <v>17</v>
      </c>
      <c r="N6" s="15" t="s">
        <v>18</v>
      </c>
      <c r="O6" s="15" t="s">
        <v>19</v>
      </c>
      <c r="P6" s="15"/>
      <c r="Q6" s="15" t="s">
        <v>17</v>
      </c>
      <c r="R6" s="15" t="s">
        <v>18</v>
      </c>
      <c r="S6" s="15" t="s">
        <v>19</v>
      </c>
      <c r="T6" s="15" t="s">
        <v>17</v>
      </c>
      <c r="U6" s="15" t="s">
        <v>18</v>
      </c>
      <c r="V6" s="15" t="s">
        <v>19</v>
      </c>
    </row>
    <row r="7" spans="2:22" x14ac:dyDescent="0.2">
      <c r="B7" s="3">
        <v>2008</v>
      </c>
      <c r="C7" s="25">
        <v>310000</v>
      </c>
      <c r="D7" s="25">
        <f>84725+84725</f>
        <v>169450</v>
      </c>
      <c r="E7" s="25">
        <v>2755000</v>
      </c>
      <c r="F7" s="25">
        <v>1035762</v>
      </c>
      <c r="G7" s="25">
        <v>425000</v>
      </c>
      <c r="H7" s="25">
        <v>198875</v>
      </c>
      <c r="I7" s="25">
        <v>440000</v>
      </c>
      <c r="J7" s="25">
        <f>46200*2</f>
        <v>92400</v>
      </c>
      <c r="K7" s="25">
        <v>625000</v>
      </c>
      <c r="L7" s="35">
        <f>332138*2</f>
        <v>664276</v>
      </c>
      <c r="M7" s="25">
        <f t="shared" ref="M7:N11" si="0">+E7+G7+I7+K7+C7</f>
        <v>4555000</v>
      </c>
      <c r="N7" s="25">
        <f t="shared" si="0"/>
        <v>2160763</v>
      </c>
      <c r="O7" s="25">
        <f>SUM(M7:N7)</f>
        <v>6715763</v>
      </c>
      <c r="P7" s="25"/>
      <c r="Q7" s="25">
        <f>+'Install contr by year'!I12</f>
        <v>101515</v>
      </c>
      <c r="R7" s="25">
        <f>+'Install contr by year'!J12</f>
        <v>9187.2900000000009</v>
      </c>
      <c r="S7" s="25">
        <f>SUM(Q7:R7)</f>
        <v>110702.29000000001</v>
      </c>
      <c r="T7" s="25">
        <f t="shared" ref="T7:U11" si="1">+M7+Q7</f>
        <v>4656515</v>
      </c>
      <c r="U7" s="25">
        <f t="shared" si="1"/>
        <v>2169950.29</v>
      </c>
      <c r="V7" s="25">
        <f>SUM(T7:U7)</f>
        <v>6826465.29</v>
      </c>
    </row>
    <row r="8" spans="2:22" x14ac:dyDescent="0.2">
      <c r="B8" s="23">
        <v>2009</v>
      </c>
      <c r="C8" s="35">
        <v>310000</v>
      </c>
      <c r="D8" s="35">
        <f>80075+80075</f>
        <v>160150</v>
      </c>
      <c r="E8" s="35">
        <v>2900000</v>
      </c>
      <c r="F8" s="35">
        <v>918675</v>
      </c>
      <c r="G8" s="35">
        <v>425000</v>
      </c>
      <c r="H8" s="35">
        <v>180813</v>
      </c>
      <c r="I8" s="35">
        <v>465000</v>
      </c>
      <c r="J8" s="35">
        <f>40700*2</f>
        <v>81400</v>
      </c>
      <c r="K8" s="35">
        <v>650000</v>
      </c>
      <c r="L8" s="35">
        <f>322763*2</f>
        <v>645526</v>
      </c>
      <c r="M8" s="25">
        <f t="shared" si="0"/>
        <v>4750000</v>
      </c>
      <c r="N8" s="25">
        <f t="shared" si="0"/>
        <v>1986564</v>
      </c>
      <c r="O8" s="25">
        <f>SUM(M8:N8)</f>
        <v>6736564</v>
      </c>
      <c r="P8" s="25"/>
      <c r="Q8" s="25">
        <f>+'Install contr by year'!I13</f>
        <v>46915</v>
      </c>
      <c r="R8" s="25">
        <f>+'Install contr by year'!J13</f>
        <v>4433.47</v>
      </c>
      <c r="S8" s="35">
        <f>SUM(Q8:R8)</f>
        <v>51348.47</v>
      </c>
      <c r="T8" s="35">
        <f t="shared" si="1"/>
        <v>4796915</v>
      </c>
      <c r="U8" s="35">
        <f t="shared" si="1"/>
        <v>1990997.47</v>
      </c>
      <c r="V8" s="35">
        <f>SUM(T8:U8)</f>
        <v>6787912.4699999997</v>
      </c>
    </row>
    <row r="9" spans="2:22" s="16" customFormat="1" x14ac:dyDescent="0.2">
      <c r="B9" s="23">
        <v>2010</v>
      </c>
      <c r="C9" s="35">
        <v>310000</v>
      </c>
      <c r="D9" s="35">
        <f>75425+75425</f>
        <v>150850</v>
      </c>
      <c r="E9" s="35">
        <v>3095000</v>
      </c>
      <c r="F9" s="35">
        <v>791075</v>
      </c>
      <c r="G9" s="35">
        <v>425000</v>
      </c>
      <c r="H9" s="35">
        <v>162750</v>
      </c>
      <c r="I9" s="35">
        <v>450000</v>
      </c>
      <c r="J9" s="35">
        <f>33958*2</f>
        <v>67916</v>
      </c>
      <c r="K9" s="35">
        <v>650000</v>
      </c>
      <c r="L9" s="25">
        <f>313013*2</f>
        <v>626026</v>
      </c>
      <c r="M9" s="25">
        <f t="shared" si="0"/>
        <v>4930000</v>
      </c>
      <c r="N9" s="25">
        <f t="shared" si="0"/>
        <v>1798617</v>
      </c>
      <c r="O9" s="35">
        <f>SUM(M9:N9)</f>
        <v>6728617</v>
      </c>
      <c r="P9" s="35"/>
      <c r="Q9" s="35">
        <f>+'Install contr by year'!I14</f>
        <v>46915</v>
      </c>
      <c r="R9" s="35">
        <f>+'Install contr by year'!J14</f>
        <v>2955.65</v>
      </c>
      <c r="S9" s="35">
        <f>SUM(Q9:R9)</f>
        <v>49870.65</v>
      </c>
      <c r="T9" s="35">
        <f t="shared" si="1"/>
        <v>4976915</v>
      </c>
      <c r="U9" s="35">
        <f t="shared" si="1"/>
        <v>1801572.65</v>
      </c>
      <c r="V9" s="35">
        <f>SUM(T9:U9)</f>
        <v>6778487.6500000004</v>
      </c>
    </row>
    <row r="10" spans="2:22" x14ac:dyDescent="0.2">
      <c r="B10" s="3">
        <v>2011</v>
      </c>
      <c r="C10" s="25">
        <v>350000</v>
      </c>
      <c r="D10" s="25">
        <v>140000</v>
      </c>
      <c r="E10" s="25">
        <v>3220000</v>
      </c>
      <c r="F10" s="25">
        <v>651800</v>
      </c>
      <c r="G10" s="25">
        <v>425000</v>
      </c>
      <c r="H10" s="25">
        <v>144475</v>
      </c>
      <c r="I10" s="25">
        <v>440000</v>
      </c>
      <c r="J10" s="25">
        <f>26870*2</f>
        <v>53740</v>
      </c>
      <c r="K10" s="25">
        <v>650000</v>
      </c>
      <c r="L10" s="35">
        <f>301638*2</f>
        <v>603276</v>
      </c>
      <c r="M10" s="25">
        <f t="shared" si="0"/>
        <v>5085000</v>
      </c>
      <c r="N10" s="25">
        <f t="shared" si="0"/>
        <v>1593291</v>
      </c>
      <c r="O10" s="25">
        <f>SUM(M10:N10)</f>
        <v>6678291</v>
      </c>
      <c r="P10" s="25"/>
      <c r="Q10" s="25">
        <f>+'Install contr by year'!I15</f>
        <v>46915</v>
      </c>
      <c r="R10" s="25">
        <f>+'Install contr by year'!J15</f>
        <v>1477.82</v>
      </c>
      <c r="S10" s="25">
        <f>SUM(Q10:R10)</f>
        <v>48392.82</v>
      </c>
      <c r="T10" s="25">
        <f t="shared" si="1"/>
        <v>5131915</v>
      </c>
      <c r="U10" s="25">
        <f t="shared" si="1"/>
        <v>1594768.82</v>
      </c>
      <c r="V10" s="25">
        <f>SUM(T10:U10)</f>
        <v>6726683.8200000003</v>
      </c>
    </row>
    <row r="11" spans="2:22" x14ac:dyDescent="0.2">
      <c r="B11" s="3">
        <v>2012</v>
      </c>
      <c r="C11" s="25">
        <v>395000</v>
      </c>
      <c r="D11" s="25">
        <f>63875+63875</f>
        <v>127750</v>
      </c>
      <c r="E11" s="25">
        <v>3360000</v>
      </c>
      <c r="F11" s="25">
        <v>503680</v>
      </c>
      <c r="G11" s="25">
        <v>425000</v>
      </c>
      <c r="H11" s="25">
        <v>125775</v>
      </c>
      <c r="I11" s="25">
        <v>430000</v>
      </c>
      <c r="J11" s="25">
        <f>19610*2</f>
        <v>39220</v>
      </c>
      <c r="K11" s="25">
        <v>650000</v>
      </c>
      <c r="L11" s="35">
        <f>290263*2</f>
        <v>580526</v>
      </c>
      <c r="M11" s="25">
        <f t="shared" si="0"/>
        <v>5260000</v>
      </c>
      <c r="N11" s="25">
        <f t="shared" si="0"/>
        <v>1376951</v>
      </c>
      <c r="O11" s="25">
        <f>SUM(M11:N11)</f>
        <v>6636951</v>
      </c>
      <c r="P11" s="25"/>
      <c r="Q11" s="25"/>
      <c r="R11" s="25"/>
      <c r="S11" s="25"/>
      <c r="T11" s="25">
        <f t="shared" si="1"/>
        <v>5260000</v>
      </c>
      <c r="U11" s="25">
        <f t="shared" si="1"/>
        <v>1376951</v>
      </c>
      <c r="V11" s="25">
        <f>SUM(T11:U11)</f>
        <v>6636951</v>
      </c>
    </row>
    <row r="12" spans="2:22" x14ac:dyDescent="0.2">
      <c r="B12" s="43"/>
      <c r="C12" s="36">
        <f>SUM(C7:C11)</f>
        <v>1675000</v>
      </c>
      <c r="D12" s="36">
        <f t="shared" ref="D12:M12" si="2">SUM(D7:D11)</f>
        <v>748200</v>
      </c>
      <c r="E12" s="36">
        <f t="shared" si="2"/>
        <v>15330000</v>
      </c>
      <c r="F12" s="36">
        <f t="shared" si="2"/>
        <v>3900992</v>
      </c>
      <c r="G12" s="36">
        <f t="shared" si="2"/>
        <v>2125000</v>
      </c>
      <c r="H12" s="36">
        <f t="shared" si="2"/>
        <v>812688</v>
      </c>
      <c r="I12" s="36">
        <f t="shared" si="2"/>
        <v>2225000</v>
      </c>
      <c r="J12" s="36">
        <f t="shared" si="2"/>
        <v>334676</v>
      </c>
      <c r="K12" s="36">
        <f t="shared" si="2"/>
        <v>3225000</v>
      </c>
      <c r="L12" s="36">
        <f t="shared" si="2"/>
        <v>3119630</v>
      </c>
      <c r="M12" s="36">
        <f t="shared" si="2"/>
        <v>24580000</v>
      </c>
      <c r="N12" s="36">
        <f>SUM(N7:N11)</f>
        <v>8916186</v>
      </c>
      <c r="O12" s="36">
        <f>SUM(O7:O11)</f>
        <v>33496186</v>
      </c>
      <c r="P12" s="36"/>
      <c r="Q12" s="36">
        <f t="shared" ref="Q12:V12" si="3">SUM(Q7:Q11)</f>
        <v>242260</v>
      </c>
      <c r="R12" s="36">
        <f t="shared" si="3"/>
        <v>18054.230000000003</v>
      </c>
      <c r="S12" s="36">
        <f t="shared" si="3"/>
        <v>260314.23</v>
      </c>
      <c r="T12" s="36">
        <f t="shared" si="3"/>
        <v>24822260</v>
      </c>
      <c r="U12" s="36">
        <f t="shared" si="3"/>
        <v>8934240.2300000004</v>
      </c>
      <c r="V12" s="36">
        <f t="shared" si="3"/>
        <v>33756500.230000004</v>
      </c>
    </row>
    <row r="13" spans="2:22" x14ac:dyDescent="0.2">
      <c r="B13" s="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35"/>
      <c r="P13" s="35"/>
      <c r="Q13" s="25"/>
      <c r="R13" s="25"/>
      <c r="S13" s="25"/>
      <c r="T13" s="25"/>
      <c r="U13" s="25"/>
      <c r="V13" s="25"/>
    </row>
    <row r="14" spans="2:22" x14ac:dyDescent="0.2">
      <c r="B14" s="23">
        <v>2013</v>
      </c>
      <c r="C14" s="35">
        <v>415000</v>
      </c>
      <c r="D14" s="35">
        <f>56963+56963-1</f>
        <v>113925</v>
      </c>
      <c r="E14" s="35">
        <v>3485000</v>
      </c>
      <c r="F14" s="35">
        <v>345760</v>
      </c>
      <c r="G14" s="35">
        <v>450000</v>
      </c>
      <c r="H14" s="35">
        <v>106650</v>
      </c>
      <c r="I14" s="35">
        <v>420000</v>
      </c>
      <c r="J14" s="35">
        <f>12300*2</f>
        <v>24600</v>
      </c>
      <c r="K14" s="35">
        <v>650000</v>
      </c>
      <c r="L14" s="25">
        <f>278888*2</f>
        <v>557776</v>
      </c>
      <c r="M14" s="25">
        <f t="shared" ref="M14:N18" si="4">+E14+G14+I14+K14+C14</f>
        <v>5420000</v>
      </c>
      <c r="N14" s="25">
        <f t="shared" si="4"/>
        <v>1148711</v>
      </c>
      <c r="O14" s="25">
        <f>SUM(M14:N14)</f>
        <v>6568711</v>
      </c>
      <c r="P14" s="25"/>
      <c r="Q14" s="25">
        <f>+'Install contr by year'!I19</f>
        <v>0</v>
      </c>
      <c r="R14" s="25">
        <f>+'Install contr by year'!J19</f>
        <v>0</v>
      </c>
      <c r="S14" s="25">
        <f>SUM(Q14:R14)</f>
        <v>0</v>
      </c>
      <c r="T14" s="25">
        <f t="shared" ref="T14:U18" si="5">+M14+Q14</f>
        <v>5420000</v>
      </c>
      <c r="U14" s="25">
        <f t="shared" si="5"/>
        <v>1148711</v>
      </c>
      <c r="V14" s="25">
        <f>SUM(T14:U14)</f>
        <v>6568711</v>
      </c>
    </row>
    <row r="15" spans="2:22" x14ac:dyDescent="0.2">
      <c r="B15" s="3">
        <v>2014</v>
      </c>
      <c r="C15" s="25">
        <v>485000</v>
      </c>
      <c r="D15" s="25">
        <f>49493+49493-1</f>
        <v>98985</v>
      </c>
      <c r="E15" s="25">
        <v>3680000</v>
      </c>
      <c r="F15" s="25">
        <v>178478</v>
      </c>
      <c r="G15" s="25">
        <v>450000</v>
      </c>
      <c r="H15" s="25">
        <v>85500</v>
      </c>
      <c r="I15" s="25">
        <v>275000</v>
      </c>
      <c r="J15" s="25">
        <f>4950*2</f>
        <v>9900</v>
      </c>
      <c r="K15" s="25">
        <v>650000</v>
      </c>
      <c r="L15" s="35">
        <f>266700*2</f>
        <v>533400</v>
      </c>
      <c r="M15" s="25">
        <f t="shared" si="4"/>
        <v>5540000</v>
      </c>
      <c r="N15" s="25">
        <f t="shared" si="4"/>
        <v>906263</v>
      </c>
      <c r="O15" s="25">
        <f>SUM(M15:N15)</f>
        <v>6446263</v>
      </c>
      <c r="P15" s="25"/>
      <c r="Q15" s="25">
        <f>+'Install contr by year'!I20</f>
        <v>0</v>
      </c>
      <c r="R15" s="25">
        <f>+'Install contr by year'!J20</f>
        <v>0</v>
      </c>
      <c r="S15" s="35">
        <f>SUM(Q15:R15)</f>
        <v>0</v>
      </c>
      <c r="T15" s="25">
        <f t="shared" si="5"/>
        <v>5540000</v>
      </c>
      <c r="U15" s="25">
        <f t="shared" si="5"/>
        <v>906263</v>
      </c>
      <c r="V15" s="35">
        <f>SUM(T15:U15)</f>
        <v>6446263</v>
      </c>
    </row>
    <row r="16" spans="2:22" s="16" customFormat="1" x14ac:dyDescent="0.2">
      <c r="B16" s="23">
        <v>2015</v>
      </c>
      <c r="C16" s="35">
        <v>680000</v>
      </c>
      <c r="D16" s="35">
        <f>40520+40520</f>
        <v>81040</v>
      </c>
      <c r="E16" s="35"/>
      <c r="F16" s="35"/>
      <c r="G16" s="35">
        <v>450000</v>
      </c>
      <c r="H16" s="35">
        <v>64125</v>
      </c>
      <c r="I16" s="35"/>
      <c r="J16" s="35"/>
      <c r="K16" s="35">
        <v>1000000</v>
      </c>
      <c r="L16" s="25">
        <f>255000*2</f>
        <v>510000</v>
      </c>
      <c r="M16" s="25">
        <f t="shared" si="4"/>
        <v>2130000</v>
      </c>
      <c r="N16" s="25">
        <f t="shared" si="4"/>
        <v>655165</v>
      </c>
      <c r="O16" s="35">
        <f>SUM(M16:N16)</f>
        <v>2785165</v>
      </c>
      <c r="P16" s="35"/>
      <c r="Q16" s="35">
        <f>+'Install contr by year'!I21</f>
        <v>0</v>
      </c>
      <c r="R16" s="35">
        <f>+'Install contr by year'!J21</f>
        <v>0</v>
      </c>
      <c r="S16" s="35">
        <f>SUM(Q16:R16)</f>
        <v>0</v>
      </c>
      <c r="T16" s="35">
        <f t="shared" si="5"/>
        <v>2130000</v>
      </c>
      <c r="U16" s="35">
        <f t="shared" si="5"/>
        <v>655165</v>
      </c>
      <c r="V16" s="35">
        <f>SUM(T16:U16)</f>
        <v>2785165</v>
      </c>
    </row>
    <row r="17" spans="2:22" x14ac:dyDescent="0.2">
      <c r="B17" s="3">
        <v>2016</v>
      </c>
      <c r="C17" s="25">
        <v>690000</v>
      </c>
      <c r="D17" s="25">
        <f>27600+27600</f>
        <v>55200</v>
      </c>
      <c r="E17" s="25"/>
      <c r="F17" s="25"/>
      <c r="G17" s="25">
        <v>450000</v>
      </c>
      <c r="H17" s="25">
        <v>42750</v>
      </c>
      <c r="I17" s="25"/>
      <c r="J17" s="25"/>
      <c r="K17" s="25">
        <v>1000000</v>
      </c>
      <c r="L17" s="35">
        <f>230000*2</f>
        <v>460000</v>
      </c>
      <c r="M17" s="25">
        <f t="shared" si="4"/>
        <v>2140000</v>
      </c>
      <c r="N17" s="25">
        <f t="shared" si="4"/>
        <v>557950</v>
      </c>
      <c r="O17" s="35">
        <f>SUM(M17:N17)</f>
        <v>2697950</v>
      </c>
      <c r="P17" s="35"/>
      <c r="Q17" s="25"/>
      <c r="R17" s="25"/>
      <c r="S17" s="25">
        <f>SUM(Q17:R17)</f>
        <v>0</v>
      </c>
      <c r="T17" s="25">
        <f t="shared" si="5"/>
        <v>2140000</v>
      </c>
      <c r="U17" s="25">
        <f t="shared" si="5"/>
        <v>557950</v>
      </c>
      <c r="V17" s="25">
        <f>SUM(T17:U17)</f>
        <v>2697950</v>
      </c>
    </row>
    <row r="18" spans="2:22" x14ac:dyDescent="0.2">
      <c r="B18" s="23">
        <v>2017</v>
      </c>
      <c r="C18" s="35">
        <v>690000</v>
      </c>
      <c r="D18" s="35">
        <f>13800+13800</f>
        <v>27600</v>
      </c>
      <c r="E18" s="35"/>
      <c r="F18" s="35"/>
      <c r="G18" s="35">
        <v>450000</v>
      </c>
      <c r="H18" s="35">
        <v>21375</v>
      </c>
      <c r="I18" s="35"/>
      <c r="J18" s="35"/>
      <c r="K18" s="35">
        <v>1000000</v>
      </c>
      <c r="L18" s="25">
        <f>205000*2</f>
        <v>410000</v>
      </c>
      <c r="M18" s="25">
        <f t="shared" si="4"/>
        <v>2140000</v>
      </c>
      <c r="N18" s="25">
        <f t="shared" si="4"/>
        <v>458975</v>
      </c>
      <c r="O18" s="35">
        <f>SUM(M18:N18)</f>
        <v>2598975</v>
      </c>
      <c r="P18" s="35"/>
      <c r="Q18" s="35"/>
      <c r="R18" s="35"/>
      <c r="S18" s="35">
        <f>SUM(Q18:R18)</f>
        <v>0</v>
      </c>
      <c r="T18" s="25">
        <f t="shared" si="5"/>
        <v>2140000</v>
      </c>
      <c r="U18" s="25">
        <f t="shared" si="5"/>
        <v>458975</v>
      </c>
      <c r="V18" s="35">
        <f>SUM(T18:U18)</f>
        <v>2598975</v>
      </c>
    </row>
    <row r="19" spans="2:22" x14ac:dyDescent="0.2">
      <c r="B19" s="43"/>
      <c r="C19" s="36">
        <f>SUM(C14:C18)</f>
        <v>2960000</v>
      </c>
      <c r="D19" s="36">
        <f t="shared" ref="D19:O19" si="6">SUM(D14:D18)</f>
        <v>376750</v>
      </c>
      <c r="E19" s="36">
        <f t="shared" si="6"/>
        <v>7165000</v>
      </c>
      <c r="F19" s="36">
        <f t="shared" si="6"/>
        <v>524238</v>
      </c>
      <c r="G19" s="36">
        <f t="shared" si="6"/>
        <v>2250000</v>
      </c>
      <c r="H19" s="36">
        <f t="shared" si="6"/>
        <v>320400</v>
      </c>
      <c r="I19" s="36">
        <f t="shared" si="6"/>
        <v>695000</v>
      </c>
      <c r="J19" s="36">
        <f t="shared" si="6"/>
        <v>34500</v>
      </c>
      <c r="K19" s="36">
        <f t="shared" si="6"/>
        <v>4300000</v>
      </c>
      <c r="L19" s="36">
        <f t="shared" si="6"/>
        <v>2471176</v>
      </c>
      <c r="M19" s="36">
        <f t="shared" si="6"/>
        <v>17370000</v>
      </c>
      <c r="N19" s="36">
        <f t="shared" si="6"/>
        <v>3727064</v>
      </c>
      <c r="O19" s="36">
        <f t="shared" si="6"/>
        <v>21097064</v>
      </c>
      <c r="P19" s="36"/>
      <c r="Q19" s="36">
        <f t="shared" ref="Q19:V19" si="7">SUM(Q14:Q17)</f>
        <v>0</v>
      </c>
      <c r="R19" s="36">
        <f t="shared" si="7"/>
        <v>0</v>
      </c>
      <c r="S19" s="36">
        <f t="shared" si="7"/>
        <v>0</v>
      </c>
      <c r="T19" s="36">
        <f t="shared" si="7"/>
        <v>15230000</v>
      </c>
      <c r="U19" s="36">
        <f t="shared" si="7"/>
        <v>3268089</v>
      </c>
      <c r="V19" s="36">
        <f t="shared" si="7"/>
        <v>18498089</v>
      </c>
    </row>
    <row r="20" spans="2:22" x14ac:dyDescent="0.2">
      <c r="B20" s="3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5"/>
      <c r="P20" s="35"/>
      <c r="Q20" s="25"/>
      <c r="R20" s="25"/>
      <c r="S20" s="25"/>
      <c r="T20" s="25"/>
      <c r="U20" s="25"/>
      <c r="V20" s="25"/>
    </row>
    <row r="21" spans="2:22" s="16" customFormat="1" x14ac:dyDescent="0.2">
      <c r="B21" s="23">
        <v>2018</v>
      </c>
      <c r="C21" s="35"/>
      <c r="D21" s="35"/>
      <c r="E21" s="35"/>
      <c r="F21" s="35"/>
      <c r="G21" s="35"/>
      <c r="H21" s="35"/>
      <c r="I21" s="35"/>
      <c r="J21" s="35"/>
      <c r="K21" s="35">
        <v>1000000</v>
      </c>
      <c r="L21" s="35">
        <f>184750*2</f>
        <v>369500</v>
      </c>
      <c r="M21" s="25">
        <f t="shared" ref="M21:N25" si="8">+E21+G21+I21+K21+C21</f>
        <v>1000000</v>
      </c>
      <c r="N21" s="25">
        <f t="shared" si="8"/>
        <v>369500</v>
      </c>
      <c r="O21" s="35">
        <f>SUM(M21:N21)</f>
        <v>1369500</v>
      </c>
      <c r="P21" s="35"/>
      <c r="Q21" s="35"/>
      <c r="R21" s="35"/>
      <c r="S21" s="35"/>
      <c r="T21" s="35">
        <f t="shared" ref="T21:U25" si="9">+M21+Q21</f>
        <v>1000000</v>
      </c>
      <c r="U21" s="35">
        <f t="shared" si="9"/>
        <v>369500</v>
      </c>
      <c r="V21" s="35">
        <f>SUM(T21:U21)</f>
        <v>1369500</v>
      </c>
    </row>
    <row r="22" spans="2:22" s="16" customFormat="1" x14ac:dyDescent="0.2">
      <c r="B22" s="23">
        <v>2019</v>
      </c>
      <c r="C22" s="35"/>
      <c r="D22" s="35"/>
      <c r="E22" s="35"/>
      <c r="F22" s="35"/>
      <c r="G22" s="35"/>
      <c r="H22" s="35"/>
      <c r="I22" s="35"/>
      <c r="J22" s="35"/>
      <c r="K22" s="35">
        <v>1000000</v>
      </c>
      <c r="L22" s="35">
        <f>164000*2</f>
        <v>328000</v>
      </c>
      <c r="M22" s="25">
        <f t="shared" si="8"/>
        <v>1000000</v>
      </c>
      <c r="N22" s="25">
        <f t="shared" si="8"/>
        <v>328000</v>
      </c>
      <c r="O22" s="35">
        <f>SUM(M22:N22)</f>
        <v>1328000</v>
      </c>
      <c r="P22" s="35"/>
      <c r="Q22" s="35"/>
      <c r="R22" s="35"/>
      <c r="S22" s="35"/>
      <c r="T22" s="35">
        <f t="shared" si="9"/>
        <v>1000000</v>
      </c>
      <c r="U22" s="35">
        <f t="shared" si="9"/>
        <v>328000</v>
      </c>
      <c r="V22" s="35">
        <f>SUM(T22:U22)</f>
        <v>1328000</v>
      </c>
    </row>
    <row r="23" spans="2:22" s="16" customFormat="1" x14ac:dyDescent="0.2">
      <c r="B23" s="23">
        <v>2020</v>
      </c>
      <c r="C23" s="35"/>
      <c r="D23" s="35"/>
      <c r="E23" s="35"/>
      <c r="F23" s="35"/>
      <c r="G23" s="35"/>
      <c r="H23" s="35"/>
      <c r="I23" s="35"/>
      <c r="J23" s="35"/>
      <c r="K23" s="35">
        <v>1000000</v>
      </c>
      <c r="L23" s="35">
        <f>143750*2</f>
        <v>287500</v>
      </c>
      <c r="M23" s="25">
        <f t="shared" si="8"/>
        <v>1000000</v>
      </c>
      <c r="N23" s="25">
        <f t="shared" si="8"/>
        <v>287500</v>
      </c>
      <c r="O23" s="35">
        <f>SUM(M23:N23)</f>
        <v>1287500</v>
      </c>
      <c r="P23" s="35"/>
      <c r="Q23" s="35"/>
      <c r="R23" s="35"/>
      <c r="S23" s="35"/>
      <c r="T23" s="35">
        <f t="shared" si="9"/>
        <v>1000000</v>
      </c>
      <c r="U23" s="35">
        <f t="shared" si="9"/>
        <v>287500</v>
      </c>
      <c r="V23" s="35">
        <f>SUM(T23:U23)</f>
        <v>1287500</v>
      </c>
    </row>
    <row r="24" spans="2:22" s="16" customFormat="1" x14ac:dyDescent="0.2">
      <c r="B24" s="23">
        <v>2021</v>
      </c>
      <c r="C24" s="35"/>
      <c r="D24" s="35"/>
      <c r="E24" s="35"/>
      <c r="F24" s="35"/>
      <c r="G24" s="35"/>
      <c r="H24" s="35"/>
      <c r="I24" s="35"/>
      <c r="J24" s="35"/>
      <c r="K24" s="35">
        <v>1000000</v>
      </c>
      <c r="L24" s="35">
        <f>118750*2</f>
        <v>237500</v>
      </c>
      <c r="M24" s="25">
        <f t="shared" si="8"/>
        <v>1000000</v>
      </c>
      <c r="N24" s="25">
        <f t="shared" si="8"/>
        <v>237500</v>
      </c>
      <c r="O24" s="35">
        <f>SUM(M24:N24)</f>
        <v>1237500</v>
      </c>
      <c r="P24" s="35"/>
      <c r="Q24" s="35"/>
      <c r="R24" s="35"/>
      <c r="S24" s="35"/>
      <c r="T24" s="35">
        <f t="shared" si="9"/>
        <v>1000000</v>
      </c>
      <c r="U24" s="35">
        <f t="shared" si="9"/>
        <v>237500</v>
      </c>
      <c r="V24" s="35">
        <f>SUM(T24:U24)</f>
        <v>1237500</v>
      </c>
    </row>
    <row r="25" spans="2:22" x14ac:dyDescent="0.2">
      <c r="B25" s="23">
        <v>2022</v>
      </c>
      <c r="C25" s="35">
        <v>0</v>
      </c>
      <c r="D25" s="35">
        <v>0</v>
      </c>
      <c r="E25" s="35"/>
      <c r="F25" s="35"/>
      <c r="G25" s="35">
        <v>0</v>
      </c>
      <c r="H25" s="35">
        <v>0</v>
      </c>
      <c r="I25" s="35"/>
      <c r="J25" s="35"/>
      <c r="K25" s="35">
        <v>1000000</v>
      </c>
      <c r="L25" s="35">
        <f>93750*2</f>
        <v>187500</v>
      </c>
      <c r="M25" s="26">
        <f t="shared" si="8"/>
        <v>1000000</v>
      </c>
      <c r="N25" s="25">
        <f t="shared" si="8"/>
        <v>187500</v>
      </c>
      <c r="O25" s="35">
        <f>SUM(M25:N25)</f>
        <v>1187500</v>
      </c>
      <c r="P25" s="35"/>
      <c r="Q25" s="35"/>
      <c r="R25" s="35"/>
      <c r="S25" s="35">
        <f>SUM(Q25:R25)</f>
        <v>0</v>
      </c>
      <c r="T25" s="25">
        <f t="shared" si="9"/>
        <v>1000000</v>
      </c>
      <c r="U25" s="25">
        <f t="shared" si="9"/>
        <v>187500</v>
      </c>
      <c r="V25" s="35">
        <f>SUM(T25:U25)</f>
        <v>1187500</v>
      </c>
    </row>
    <row r="26" spans="2:22" x14ac:dyDescent="0.2">
      <c r="B26" s="44"/>
      <c r="C26" s="36">
        <f>SUM(C21:C25)</f>
        <v>0</v>
      </c>
      <c r="D26" s="36">
        <f t="shared" ref="D26:O26" si="10">SUM(D21:D25)</f>
        <v>0</v>
      </c>
      <c r="E26" s="36">
        <f t="shared" si="10"/>
        <v>0</v>
      </c>
      <c r="F26" s="36">
        <f t="shared" si="10"/>
        <v>0</v>
      </c>
      <c r="G26" s="36">
        <f t="shared" si="10"/>
        <v>0</v>
      </c>
      <c r="H26" s="36">
        <f t="shared" si="10"/>
        <v>0</v>
      </c>
      <c r="I26" s="36">
        <f t="shared" si="10"/>
        <v>0</v>
      </c>
      <c r="J26" s="36">
        <f t="shared" si="10"/>
        <v>0</v>
      </c>
      <c r="K26" s="36">
        <f t="shared" si="10"/>
        <v>5000000</v>
      </c>
      <c r="L26" s="36">
        <f t="shared" si="10"/>
        <v>1410000</v>
      </c>
      <c r="M26" s="36">
        <f t="shared" si="10"/>
        <v>5000000</v>
      </c>
      <c r="N26" s="36">
        <f t="shared" si="10"/>
        <v>1410000</v>
      </c>
      <c r="O26" s="36">
        <f t="shared" si="10"/>
        <v>6410000</v>
      </c>
      <c r="P26" s="36"/>
      <c r="Q26" s="36">
        <f t="shared" ref="Q26:V26" si="11">SUM(Q21:Q24)</f>
        <v>0</v>
      </c>
      <c r="R26" s="36">
        <f t="shared" si="11"/>
        <v>0</v>
      </c>
      <c r="S26" s="36">
        <f t="shared" si="11"/>
        <v>0</v>
      </c>
      <c r="T26" s="36">
        <f t="shared" si="11"/>
        <v>4000000</v>
      </c>
      <c r="U26" s="36">
        <f t="shared" si="11"/>
        <v>1222500</v>
      </c>
      <c r="V26" s="36">
        <f t="shared" si="11"/>
        <v>5222500</v>
      </c>
    </row>
    <row r="27" spans="2:22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35"/>
      <c r="R27" s="35"/>
      <c r="S27" s="35"/>
      <c r="T27" s="35"/>
      <c r="U27" s="35"/>
      <c r="V27" s="35"/>
    </row>
    <row r="28" spans="2:22" s="16" customFormat="1" x14ac:dyDescent="0.2">
      <c r="B28" s="23">
        <v>2023</v>
      </c>
      <c r="C28" s="35"/>
      <c r="D28" s="35"/>
      <c r="E28" s="35"/>
      <c r="F28" s="35"/>
      <c r="G28" s="35"/>
      <c r="H28" s="35"/>
      <c r="I28" s="35"/>
      <c r="J28" s="35"/>
      <c r="K28" s="35">
        <v>1000000</v>
      </c>
      <c r="L28" s="35">
        <f>68750*2</f>
        <v>137500</v>
      </c>
      <c r="M28" s="25">
        <f t="shared" ref="M28:N31" si="12">+E28+G28+I28+K28</f>
        <v>1000000</v>
      </c>
      <c r="N28" s="25">
        <f t="shared" si="12"/>
        <v>137500</v>
      </c>
      <c r="O28" s="35">
        <f>SUM(M28:N28)</f>
        <v>1137500</v>
      </c>
      <c r="P28" s="35"/>
      <c r="Q28" s="35"/>
      <c r="R28" s="35"/>
      <c r="S28" s="35"/>
      <c r="T28" s="25">
        <f t="shared" ref="T28:U30" si="13">+M28+Q28</f>
        <v>1000000</v>
      </c>
      <c r="U28" s="25">
        <f t="shared" si="13"/>
        <v>137500</v>
      </c>
      <c r="V28" s="35">
        <f>SUM(T28:U28)</f>
        <v>1137500</v>
      </c>
    </row>
    <row r="29" spans="2:22" s="16" customFormat="1" x14ac:dyDescent="0.2">
      <c r="B29" s="23">
        <v>2024</v>
      </c>
      <c r="C29" s="35"/>
      <c r="D29" s="35"/>
      <c r="E29" s="35"/>
      <c r="F29" s="35"/>
      <c r="G29" s="35"/>
      <c r="H29" s="35"/>
      <c r="I29" s="35"/>
      <c r="J29" s="35"/>
      <c r="K29" s="35">
        <v>1000000</v>
      </c>
      <c r="L29" s="35">
        <f>43750*2</f>
        <v>87500</v>
      </c>
      <c r="M29" s="25">
        <f t="shared" si="12"/>
        <v>1000000</v>
      </c>
      <c r="N29" s="25">
        <f t="shared" si="12"/>
        <v>87500</v>
      </c>
      <c r="O29" s="35">
        <f>SUM(M29:N29)</f>
        <v>1087500</v>
      </c>
      <c r="P29" s="35"/>
      <c r="Q29" s="35"/>
      <c r="R29" s="35"/>
      <c r="S29" s="35"/>
      <c r="T29" s="25">
        <f t="shared" si="13"/>
        <v>1000000</v>
      </c>
      <c r="U29" s="25">
        <f t="shared" si="13"/>
        <v>87500</v>
      </c>
      <c r="V29" s="35">
        <f>SUM(T29:U29)</f>
        <v>1087500</v>
      </c>
    </row>
    <row r="30" spans="2:22" s="16" customFormat="1" x14ac:dyDescent="0.2">
      <c r="B30" s="23">
        <v>2025</v>
      </c>
      <c r="C30" s="35"/>
      <c r="D30" s="35"/>
      <c r="E30" s="35"/>
      <c r="F30" s="35"/>
      <c r="G30" s="35"/>
      <c r="H30" s="35"/>
      <c r="I30" s="35"/>
      <c r="J30" s="35"/>
      <c r="K30" s="35">
        <v>1000000</v>
      </c>
      <c r="L30" s="35">
        <f>21875*2</f>
        <v>43750</v>
      </c>
      <c r="M30" s="25">
        <f t="shared" si="12"/>
        <v>1000000</v>
      </c>
      <c r="N30" s="25">
        <f t="shared" si="12"/>
        <v>43750</v>
      </c>
      <c r="O30" s="35">
        <f>SUM(M30:N30)</f>
        <v>1043750</v>
      </c>
      <c r="P30" s="35"/>
      <c r="Q30" s="35"/>
      <c r="R30" s="35"/>
      <c r="S30" s="35"/>
      <c r="T30" s="25">
        <f t="shared" si="13"/>
        <v>1000000</v>
      </c>
      <c r="U30" s="25">
        <f t="shared" si="13"/>
        <v>43750</v>
      </c>
      <c r="V30" s="35">
        <f>SUM(T30:U30)</f>
        <v>1043750</v>
      </c>
    </row>
    <row r="31" spans="2:22" x14ac:dyDescent="0.2">
      <c r="B31" s="15" t="s">
        <v>24</v>
      </c>
      <c r="C31" s="26"/>
      <c r="D31" s="26"/>
      <c r="E31" s="26"/>
      <c r="F31" s="26"/>
      <c r="G31" s="26"/>
      <c r="H31" s="26"/>
      <c r="I31" s="26"/>
      <c r="J31" s="26"/>
      <c r="K31" s="35"/>
      <c r="L31" s="35"/>
      <c r="M31" s="25">
        <f t="shared" si="12"/>
        <v>0</v>
      </c>
      <c r="N31" s="25">
        <f t="shared" si="12"/>
        <v>0</v>
      </c>
      <c r="O31" s="26"/>
      <c r="P31" s="26"/>
      <c r="Q31" s="26"/>
      <c r="R31" s="26"/>
      <c r="S31" s="26"/>
      <c r="T31" s="25"/>
      <c r="U31" s="25"/>
      <c r="V31" s="26"/>
    </row>
    <row r="32" spans="2:22" x14ac:dyDescent="0.2">
      <c r="B32" s="44"/>
      <c r="C32" s="36">
        <f t="shared" ref="C32:O32" si="14">SUM(C28:C31)</f>
        <v>0</v>
      </c>
      <c r="D32" s="36">
        <f t="shared" si="14"/>
        <v>0</v>
      </c>
      <c r="E32" s="36">
        <f t="shared" si="14"/>
        <v>0</v>
      </c>
      <c r="F32" s="36">
        <f t="shared" si="14"/>
        <v>0</v>
      </c>
      <c r="G32" s="36">
        <f t="shared" si="14"/>
        <v>0</v>
      </c>
      <c r="H32" s="36">
        <f t="shared" si="14"/>
        <v>0</v>
      </c>
      <c r="I32" s="36">
        <f t="shared" si="14"/>
        <v>0</v>
      </c>
      <c r="J32" s="36">
        <f t="shared" si="14"/>
        <v>0</v>
      </c>
      <c r="K32" s="36">
        <f t="shared" si="14"/>
        <v>3000000</v>
      </c>
      <c r="L32" s="36">
        <f t="shared" si="14"/>
        <v>268750</v>
      </c>
      <c r="M32" s="36">
        <f t="shared" si="14"/>
        <v>3000000</v>
      </c>
      <c r="N32" s="36">
        <f t="shared" si="14"/>
        <v>268750</v>
      </c>
      <c r="O32" s="36">
        <f t="shared" si="14"/>
        <v>3268750</v>
      </c>
      <c r="P32" s="36"/>
      <c r="Q32" s="36">
        <f t="shared" ref="Q32:V32" si="15">SUM(Q28:Q31)</f>
        <v>0</v>
      </c>
      <c r="R32" s="36">
        <f t="shared" si="15"/>
        <v>0</v>
      </c>
      <c r="S32" s="36">
        <f t="shared" si="15"/>
        <v>0</v>
      </c>
      <c r="T32" s="36">
        <f t="shared" si="15"/>
        <v>3000000</v>
      </c>
      <c r="U32" s="36">
        <f t="shared" si="15"/>
        <v>268750</v>
      </c>
      <c r="V32" s="36">
        <f t="shared" si="15"/>
        <v>3268750</v>
      </c>
    </row>
    <row r="33" spans="2:22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5"/>
      <c r="R33" s="35"/>
      <c r="S33" s="35"/>
      <c r="T33" s="35"/>
      <c r="U33" s="35"/>
      <c r="V33" s="35"/>
    </row>
    <row r="34" spans="2:22" ht="13.5" thickBot="1" x14ac:dyDescent="0.25">
      <c r="C34" s="27">
        <f t="shared" ref="C34:O34" si="16">+C12+C19+C26+C32</f>
        <v>4635000</v>
      </c>
      <c r="D34" s="27">
        <f t="shared" si="16"/>
        <v>1124950</v>
      </c>
      <c r="E34" s="27">
        <f t="shared" si="16"/>
        <v>22495000</v>
      </c>
      <c r="F34" s="27">
        <f t="shared" si="16"/>
        <v>4425230</v>
      </c>
      <c r="G34" s="27">
        <f t="shared" si="16"/>
        <v>4375000</v>
      </c>
      <c r="H34" s="27">
        <f t="shared" si="16"/>
        <v>1133088</v>
      </c>
      <c r="I34" s="27">
        <f t="shared" si="16"/>
        <v>2920000</v>
      </c>
      <c r="J34" s="27">
        <f t="shared" si="16"/>
        <v>369176</v>
      </c>
      <c r="K34" s="27">
        <f t="shared" si="16"/>
        <v>15525000</v>
      </c>
      <c r="L34" s="27">
        <f t="shared" si="16"/>
        <v>7269556</v>
      </c>
      <c r="M34" s="27">
        <f t="shared" si="16"/>
        <v>49950000</v>
      </c>
      <c r="N34" s="27">
        <f t="shared" si="16"/>
        <v>14322000</v>
      </c>
      <c r="O34" s="27">
        <f t="shared" si="16"/>
        <v>64272000</v>
      </c>
      <c r="P34" s="27"/>
      <c r="Q34" s="27">
        <f t="shared" ref="Q34:V34" si="17">+Q12+Q19+Q26+Q32</f>
        <v>242260</v>
      </c>
      <c r="R34" s="27">
        <f t="shared" si="17"/>
        <v>18054.230000000003</v>
      </c>
      <c r="S34" s="27">
        <f t="shared" si="17"/>
        <v>260314.23</v>
      </c>
      <c r="T34" s="27">
        <f t="shared" si="17"/>
        <v>47052260</v>
      </c>
      <c r="U34" s="27">
        <f t="shared" si="17"/>
        <v>13693579.23</v>
      </c>
      <c r="V34" s="27">
        <f t="shared" si="17"/>
        <v>60745839.230000004</v>
      </c>
    </row>
    <row r="35" spans="2:22" ht="14.25" thickTop="1" thickBot="1" x14ac:dyDescent="0.25">
      <c r="B35" t="s">
        <v>29</v>
      </c>
      <c r="C35" s="27">
        <f>SUM(C34:D34)</f>
        <v>5759950</v>
      </c>
      <c r="D35" s="27"/>
      <c r="E35" s="27">
        <f>SUM(E34:F34)</f>
        <v>26920230</v>
      </c>
      <c r="F35" s="27"/>
      <c r="G35" s="28">
        <f>SUM(G34:H34)</f>
        <v>5508088</v>
      </c>
      <c r="H35" s="29"/>
      <c r="I35" s="28">
        <f>SUM(I34:J34)</f>
        <v>3289176</v>
      </c>
      <c r="J35" s="29"/>
      <c r="K35" s="28">
        <f>SUM(K34:L34)</f>
        <v>22794556</v>
      </c>
      <c r="L35" s="29"/>
      <c r="M35" s="29"/>
      <c r="N35" s="28"/>
      <c r="O35" s="27"/>
      <c r="P35" s="35"/>
      <c r="Q35" s="35"/>
      <c r="R35" s="25"/>
      <c r="S35" s="25"/>
      <c r="T35" s="25"/>
      <c r="U35" s="25"/>
      <c r="V35" s="25"/>
    </row>
    <row r="36" spans="2:22" ht="13.5" thickTop="1" x14ac:dyDescent="0.2">
      <c r="C36" s="25"/>
      <c r="D36" s="25"/>
      <c r="E36" s="25"/>
      <c r="F36" s="25"/>
      <c r="O36" s="25"/>
      <c r="P36" s="25"/>
      <c r="Q36" s="25"/>
      <c r="R36" s="25"/>
      <c r="S36" s="25"/>
      <c r="T36" s="25"/>
      <c r="U36" s="25"/>
      <c r="V36" s="25"/>
    </row>
    <row r="37" spans="2:22" ht="13.5" thickBot="1" x14ac:dyDescent="0.25">
      <c r="B37" t="s">
        <v>17</v>
      </c>
      <c r="C37" s="25">
        <f>+C34</f>
        <v>4635000</v>
      </c>
      <c r="D37" s="25"/>
      <c r="E37" s="25">
        <f>+E34</f>
        <v>22495000</v>
      </c>
      <c r="F37" s="25"/>
      <c r="G37" s="25">
        <f>+G34</f>
        <v>4375000</v>
      </c>
      <c r="I37" s="25">
        <f>+I34</f>
        <v>2920000</v>
      </c>
      <c r="K37" s="25">
        <f>+K34</f>
        <v>15525000</v>
      </c>
      <c r="O37" s="27">
        <f>SUM(C37:K37)</f>
        <v>49950000</v>
      </c>
      <c r="P37" s="35"/>
      <c r="Q37" s="35"/>
      <c r="R37" s="25"/>
      <c r="S37" s="25"/>
      <c r="T37" s="25"/>
      <c r="U37" s="25"/>
      <c r="V37" s="25"/>
    </row>
    <row r="38" spans="2:22" ht="13.5" thickTop="1" x14ac:dyDescent="0.2"/>
    <row r="39" spans="2:22" x14ac:dyDescent="0.2">
      <c r="B39" s="32"/>
    </row>
  </sheetData>
  <mergeCells count="8">
    <mergeCell ref="T5:V5"/>
    <mergeCell ref="Q5:S5"/>
    <mergeCell ref="K5:L5"/>
    <mergeCell ref="C4:D4"/>
    <mergeCell ref="C5:D5"/>
    <mergeCell ref="G5:H5"/>
    <mergeCell ref="M5:O5"/>
    <mergeCell ref="I5:J5"/>
  </mergeCells>
  <phoneticPr fontId="0" type="noConversion"/>
  <pageMargins left="0" right="0" top="0.5" bottom="0.5" header="0.5" footer="0.5"/>
  <pageSetup orientation="landscape" horizontalDpi="300" verticalDpi="300" r:id="rId1"/>
  <headerFooter alignWithMargins="0"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Gen Long Term Obl</vt:lpstr>
      <vt:lpstr>Install contr by year</vt:lpstr>
      <vt:lpstr>Bond &amp; con pymts by yr</vt:lpstr>
      <vt:lpstr>'Gen Long Term Obl'!Print_Area</vt:lpstr>
      <vt:lpstr>'Install contr by year'!Print_Area</vt:lpstr>
      <vt:lpstr>'Bond &amp; con pymts by yr'!Print_Titles</vt:lpstr>
      <vt:lpstr>'Install contr by year'!Print_Titles</vt:lpstr>
    </vt:vector>
  </TitlesOfParts>
  <Company>GHAPS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SERVICES</dc:creator>
  <cp:lastModifiedBy>Pat Korloch</cp:lastModifiedBy>
  <cp:lastPrinted>2007-08-20T22:15:01Z</cp:lastPrinted>
  <dcterms:created xsi:type="dcterms:W3CDTF">1998-07-29T20:05:01Z</dcterms:created>
  <dcterms:modified xsi:type="dcterms:W3CDTF">2014-07-31T14:43:15Z</dcterms:modified>
</cp:coreProperties>
</file>