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265" windowHeight="6225"/>
  </bookViews>
  <sheets>
    <sheet name="Sheet1" sheetId="1" r:id="rId1"/>
    <sheet name="Sheet2" sheetId="2" r:id="rId2"/>
  </sheets>
  <definedNames>
    <definedName name="_xlnm.Print_Area" localSheetId="0">Sheet1!$A$1:$BQ$47</definedName>
    <definedName name="_xlnm.Print_Titles" localSheetId="0">Sheet1!$A:$C</definedName>
  </definedNames>
  <calcPr calcId="145621" fullCalcOnLoad="1"/>
</workbook>
</file>

<file path=xl/calcChain.xml><?xml version="1.0" encoding="utf-8"?>
<calcChain xmlns="http://schemas.openxmlformats.org/spreadsheetml/2006/main">
  <c r="AG26" i="1" l="1"/>
  <c r="AG13" i="1"/>
  <c r="AG11" i="1"/>
  <c r="D13" i="1"/>
  <c r="D15" i="1" s="1"/>
  <c r="D24" i="1"/>
  <c r="D28" i="1"/>
  <c r="D37" i="1"/>
  <c r="D43" i="1" s="1"/>
  <c r="E6" i="1" s="1"/>
  <c r="E24" i="1" s="1"/>
  <c r="E37" i="1" s="1"/>
  <c r="E15" i="1"/>
  <c r="E26" i="1"/>
  <c r="E35" i="1"/>
  <c r="E43" i="1"/>
  <c r="F6" i="1" s="1"/>
  <c r="F13" i="1"/>
  <c r="F15" i="1" s="1"/>
  <c r="F24" i="1"/>
  <c r="F28" i="1"/>
  <c r="F30" i="1"/>
  <c r="G13" i="1"/>
  <c r="G15" i="1" s="1"/>
  <c r="G16" i="1"/>
  <c r="G35" i="1"/>
  <c r="H11" i="1"/>
  <c r="H13" i="1"/>
  <c r="H15" i="1"/>
  <c r="H32" i="1"/>
  <c r="I15" i="1"/>
  <c r="I28" i="1"/>
  <c r="J13" i="1"/>
  <c r="J15" i="1" s="1"/>
  <c r="K11" i="1"/>
  <c r="K13" i="1"/>
  <c r="K15" i="1"/>
  <c r="K21" i="1"/>
  <c r="K26" i="1"/>
  <c r="K28" i="1"/>
  <c r="K30" i="1"/>
  <c r="K39" i="1"/>
  <c r="L11" i="1"/>
  <c r="L13" i="1"/>
  <c r="L15" i="1"/>
  <c r="M11" i="1"/>
  <c r="M13" i="1"/>
  <c r="M15" i="1" s="1"/>
  <c r="M26" i="1"/>
  <c r="M28" i="1"/>
  <c r="M35" i="1"/>
  <c r="N11" i="1"/>
  <c r="N13" i="1"/>
  <c r="N15" i="1" s="1"/>
  <c r="N16" i="1"/>
  <c r="O13" i="1"/>
  <c r="O15" i="1"/>
  <c r="P11" i="1"/>
  <c r="P13" i="1"/>
  <c r="P15" i="1" s="1"/>
  <c r="P26" i="1"/>
  <c r="P28" i="1"/>
  <c r="P30" i="1"/>
  <c r="P35" i="1"/>
  <c r="Q11" i="1"/>
  <c r="Q13" i="1"/>
  <c r="Q15" i="1"/>
  <c r="Q29" i="1"/>
  <c r="R13" i="1"/>
  <c r="R15" i="1" s="1"/>
  <c r="R28" i="1"/>
  <c r="R35" i="1"/>
  <c r="S11" i="1"/>
  <c r="S13" i="1"/>
  <c r="S15" i="1"/>
  <c r="T11" i="1"/>
  <c r="T13" i="1"/>
  <c r="T15" i="1" s="1"/>
  <c r="U11" i="1"/>
  <c r="U13" i="1"/>
  <c r="U15" i="1"/>
  <c r="U26" i="1"/>
  <c r="U28" i="1"/>
  <c r="V11" i="1"/>
  <c r="V13" i="1"/>
  <c r="V15" i="1" s="1"/>
  <c r="V30" i="1"/>
  <c r="W11" i="1"/>
  <c r="W13" i="1"/>
  <c r="W15" i="1" s="1"/>
  <c r="W28" i="1"/>
  <c r="W35" i="1"/>
  <c r="X11" i="1"/>
  <c r="X13" i="1"/>
  <c r="X15" i="1"/>
  <c r="Y15" i="1"/>
  <c r="Z15" i="1"/>
  <c r="Z28" i="1"/>
  <c r="AA15" i="1"/>
  <c r="AA28" i="1"/>
  <c r="AA32" i="1"/>
  <c r="AB11" i="1"/>
  <c r="AB13" i="1"/>
  <c r="AB15" i="1" s="1"/>
  <c r="AB26" i="1"/>
  <c r="AB30" i="1"/>
  <c r="AC11" i="1"/>
  <c r="AC13" i="1"/>
  <c r="AC15" i="1"/>
  <c r="AC28" i="1"/>
  <c r="AC32" i="1"/>
  <c r="AC34" i="1"/>
  <c r="AC41" i="1"/>
  <c r="AD11" i="1"/>
  <c r="AD13" i="1"/>
  <c r="AD15" i="1" s="1"/>
  <c r="AD35" i="1"/>
  <c r="AE11" i="1"/>
  <c r="AE13" i="1"/>
  <c r="AE15" i="1" s="1"/>
  <c r="AF26" i="1"/>
  <c r="AF28" i="1"/>
  <c r="AF35" i="1"/>
  <c r="AH29" i="1"/>
  <c r="AP41" i="1"/>
  <c r="AP40" i="1"/>
  <c r="R54" i="1"/>
  <c r="R53" i="1"/>
  <c r="R44" i="1"/>
  <c r="BW11" i="1"/>
  <c r="BP23" i="1"/>
  <c r="BP13" i="1"/>
  <c r="BP11" i="1"/>
  <c r="BI16" i="1"/>
  <c r="BK16" i="1"/>
  <c r="AF15" i="1"/>
  <c r="AG15" i="1"/>
  <c r="AG28" i="1"/>
  <c r="AH15" i="1"/>
  <c r="AH28" i="1"/>
  <c r="AI11" i="1"/>
  <c r="AI13" i="1"/>
  <c r="AI15" i="1"/>
  <c r="AI26" i="1"/>
  <c r="AJ15" i="1"/>
  <c r="AJ28" i="1"/>
  <c r="AK13" i="1"/>
  <c r="AK15" i="1" s="1"/>
  <c r="AK28" i="1"/>
  <c r="AL15" i="1"/>
  <c r="AL26" i="1"/>
  <c r="AM10" i="1"/>
  <c r="AM11" i="1"/>
  <c r="AM13" i="1"/>
  <c r="AM15" i="1"/>
  <c r="AM21" i="1"/>
  <c r="AM28" i="1"/>
  <c r="AN11" i="1"/>
  <c r="AN13" i="1"/>
  <c r="AN15" i="1" s="1"/>
  <c r="AN28" i="1"/>
  <c r="AO13" i="1"/>
  <c r="AO15" i="1"/>
  <c r="AO28" i="1"/>
  <c r="AP15" i="1"/>
  <c r="AP26" i="1"/>
  <c r="AP28" i="1"/>
  <c r="AQ11" i="1"/>
  <c r="AQ13" i="1"/>
  <c r="AQ15" i="1" s="1"/>
  <c r="AQ26" i="1"/>
  <c r="AR11" i="1"/>
  <c r="AR13" i="1"/>
  <c r="AR15" i="1" s="1"/>
  <c r="AR28" i="1"/>
  <c r="AS11" i="1"/>
  <c r="AS13" i="1"/>
  <c r="AS15" i="1" s="1"/>
  <c r="AT11" i="1"/>
  <c r="AT13" i="1"/>
  <c r="AT15" i="1"/>
  <c r="AT28" i="1"/>
  <c r="AU11" i="1"/>
  <c r="AU15" i="1" s="1"/>
  <c r="AU32" i="1"/>
  <c r="AU35" i="1"/>
  <c r="AV13" i="1"/>
  <c r="AV15" i="1" s="1"/>
  <c r="AW13" i="1"/>
  <c r="AW15" i="1" s="1"/>
  <c r="AW28" i="1"/>
  <c r="AW35" i="1"/>
  <c r="AX11" i="1"/>
  <c r="AX13" i="1"/>
  <c r="AX15" i="1"/>
  <c r="AY15" i="1"/>
  <c r="AY28" i="1"/>
  <c r="AZ13" i="1"/>
  <c r="AZ15" i="1"/>
  <c r="BA11" i="1"/>
  <c r="BA15" i="1"/>
  <c r="BA28" i="1"/>
  <c r="BB15" i="1"/>
  <c r="BB21" i="1"/>
  <c r="BB26" i="1"/>
  <c r="BB28" i="1"/>
  <c r="BB30" i="1"/>
  <c r="BB32" i="1"/>
  <c r="BC13" i="1"/>
  <c r="BC15" i="1" s="1"/>
  <c r="BC26" i="1"/>
  <c r="BD15" i="1"/>
  <c r="BD28" i="1"/>
  <c r="BE13" i="1"/>
  <c r="BE15" i="1"/>
  <c r="BF15" i="1"/>
  <c r="BG15" i="1"/>
  <c r="BH13" i="1"/>
  <c r="BH15" i="1"/>
  <c r="BH28" i="1"/>
  <c r="BI15" i="1"/>
  <c r="BI26" i="1"/>
  <c r="BI30" i="1"/>
  <c r="BJ13" i="1"/>
  <c r="BJ15" i="1" s="1"/>
  <c r="BJ28" i="1"/>
  <c r="BK13" i="1"/>
  <c r="BK15" i="1"/>
  <c r="BM26" i="1"/>
  <c r="BR26" i="1" s="1"/>
  <c r="BM15" i="1"/>
  <c r="BR41" i="1"/>
  <c r="BR40" i="1"/>
  <c r="BT28" i="1"/>
  <c r="BL15" i="1"/>
  <c r="BL28" i="1"/>
  <c r="BN15" i="1"/>
  <c r="BO15" i="1"/>
  <c r="BP15" i="1"/>
  <c r="BQ15" i="1"/>
  <c r="BQ28" i="1"/>
  <c r="BT14" i="1"/>
  <c r="BT15" i="1" s="1"/>
  <c r="BR34" i="1"/>
  <c r="BX27" i="1"/>
  <c r="BV27" i="1"/>
  <c r="BX13" i="1"/>
  <c r="BX15" i="1" s="1"/>
  <c r="BR22" i="1"/>
  <c r="BR6" i="1"/>
  <c r="BR9" i="1"/>
  <c r="BR11" i="1"/>
  <c r="BR14" i="1"/>
  <c r="BR12" i="1"/>
  <c r="BR10" i="1"/>
  <c r="BR16" i="1"/>
  <c r="BR17" i="1"/>
  <c r="BR18" i="1"/>
  <c r="BR19" i="1"/>
  <c r="BR20" i="1"/>
  <c r="BR21" i="1"/>
  <c r="BR23" i="1"/>
  <c r="BR35" i="1"/>
  <c r="BR30" i="1"/>
  <c r="BR27" i="1"/>
  <c r="BR28" i="1"/>
  <c r="BR29" i="1"/>
  <c r="BR31" i="1"/>
  <c r="BR32" i="1"/>
  <c r="BR33" i="1"/>
  <c r="BU13" i="1"/>
  <c r="BU14" i="1"/>
  <c r="BU15" i="1" s="1"/>
  <c r="BU28" i="1"/>
  <c r="BV13" i="1"/>
  <c r="BV15" i="1"/>
  <c r="BV29" i="1"/>
  <c r="BW13" i="1"/>
  <c r="BW14" i="1"/>
  <c r="BW15" i="1"/>
  <c r="BW22" i="1"/>
  <c r="BW28" i="1"/>
  <c r="BY11" i="1"/>
  <c r="BY15" i="1" s="1"/>
  <c r="BY13" i="1"/>
  <c r="BY14" i="1"/>
  <c r="BY28" i="1"/>
  <c r="BZ11" i="1"/>
  <c r="BZ13" i="1"/>
  <c r="BZ14" i="1"/>
  <c r="BZ15" i="1"/>
  <c r="CA11" i="1"/>
  <c r="CA13" i="1"/>
  <c r="CA15" i="1" s="1"/>
  <c r="CA14" i="1"/>
  <c r="CA28" i="1"/>
  <c r="CA29" i="1"/>
  <c r="CB11" i="1"/>
  <c r="CB13" i="1"/>
  <c r="CB14" i="1"/>
  <c r="CB15" i="1"/>
  <c r="CB17" i="1"/>
  <c r="CB20" i="1"/>
  <c r="CB32" i="1"/>
  <c r="BS15" i="1"/>
  <c r="BR13" i="1" l="1"/>
  <c r="BR15" i="1" s="1"/>
  <c r="BR24" i="1" s="1"/>
  <c r="BR37" i="1" s="1"/>
  <c r="F37" i="1"/>
  <c r="F43" i="1" s="1"/>
  <c r="G6" i="1" s="1"/>
  <c r="G24" i="1" s="1"/>
  <c r="G37" i="1" s="1"/>
  <c r="G43" i="1" s="1"/>
  <c r="H6" i="1" s="1"/>
  <c r="H24" i="1" s="1"/>
  <c r="H37" i="1" s="1"/>
  <c r="H43" i="1" s="1"/>
  <c r="I6" i="1" s="1"/>
  <c r="I24" i="1" l="1"/>
  <c r="I37" i="1" s="1"/>
  <c r="I43" i="1" s="1"/>
  <c r="J6" i="1" s="1"/>
  <c r="J24" i="1" s="1"/>
  <c r="J37" i="1" s="1"/>
  <c r="J43" i="1" s="1"/>
  <c r="K6" i="1" s="1"/>
  <c r="K24" i="1" s="1"/>
  <c r="K37" i="1" s="1"/>
  <c r="K43" i="1" s="1"/>
  <c r="L6" i="1" s="1"/>
  <c r="L24" i="1" s="1"/>
  <c r="L37" i="1" s="1"/>
  <c r="L43" i="1" s="1"/>
  <c r="M6" i="1" s="1"/>
  <c r="M24" i="1" s="1"/>
  <c r="M37" i="1" s="1"/>
  <c r="M43" i="1" s="1"/>
  <c r="N6" i="1" s="1"/>
  <c r="N24" i="1" s="1"/>
  <c r="N37" i="1" s="1"/>
  <c r="N43" i="1" s="1"/>
  <c r="O6" i="1" s="1"/>
  <c r="I7" i="1"/>
  <c r="O24" i="1" l="1"/>
  <c r="O37" i="1" s="1"/>
  <c r="O43" i="1" s="1"/>
  <c r="P6" i="1" s="1"/>
  <c r="P24" i="1" s="1"/>
  <c r="P37" i="1" s="1"/>
  <c r="P43" i="1" s="1"/>
  <c r="Q6" i="1" s="1"/>
  <c r="Q24" i="1" s="1"/>
  <c r="Q37" i="1" s="1"/>
  <c r="Q43" i="1" s="1"/>
  <c r="R6" i="1" s="1"/>
  <c r="R24" i="1" s="1"/>
  <c r="R37" i="1" s="1"/>
  <c r="R43" i="1" s="1"/>
  <c r="S6" i="1" s="1"/>
  <c r="S24" i="1" s="1"/>
  <c r="S37" i="1" s="1"/>
  <c r="S43" i="1" s="1"/>
  <c r="T6" i="1" s="1"/>
  <c r="O7" i="1"/>
  <c r="T24" i="1" l="1"/>
  <c r="T37" i="1" s="1"/>
  <c r="T43" i="1" s="1"/>
  <c r="U6" i="1" s="1"/>
  <c r="U24" i="1" s="1"/>
  <c r="U37" i="1" s="1"/>
  <c r="U43" i="1" s="1"/>
  <c r="V6" i="1" s="1"/>
  <c r="V24" i="1" s="1"/>
  <c r="V37" i="1" s="1"/>
  <c r="V43" i="1" s="1"/>
  <c r="T7" i="1"/>
  <c r="W6" i="1" l="1"/>
  <c r="W24" i="1" s="1"/>
  <c r="W37" i="1" s="1"/>
  <c r="W43" i="1" s="1"/>
  <c r="X6" i="1" s="1"/>
  <c r="X24" i="1" s="1"/>
  <c r="X37" i="1" s="1"/>
  <c r="X43" i="1" s="1"/>
  <c r="Y6" i="1" s="1"/>
  <c r="Y24" i="1" s="1"/>
  <c r="Y37" i="1" s="1"/>
  <c r="Y43" i="1" s="1"/>
  <c r="Z6" i="1" s="1"/>
  <c r="V45" i="1"/>
  <c r="Z24" i="1" l="1"/>
  <c r="Z37" i="1" s="1"/>
  <c r="Z43" i="1" s="1"/>
  <c r="AA6" i="1" s="1"/>
  <c r="AA24" i="1" s="1"/>
  <c r="AA37" i="1" s="1"/>
  <c r="AA43" i="1" s="1"/>
  <c r="AB6" i="1" s="1"/>
  <c r="AB24" i="1" s="1"/>
  <c r="AB37" i="1" s="1"/>
  <c r="AB43" i="1" s="1"/>
  <c r="AC6" i="1" s="1"/>
  <c r="AC24" i="1" s="1"/>
  <c r="AC37" i="1" s="1"/>
  <c r="AC43" i="1" s="1"/>
  <c r="AD6" i="1" s="1"/>
  <c r="AD24" i="1" s="1"/>
  <c r="AD37" i="1" s="1"/>
  <c r="AD43" i="1" s="1"/>
  <c r="AE6" i="1" s="1"/>
  <c r="AE24" i="1" s="1"/>
  <c r="AE37" i="1" s="1"/>
  <c r="AE43" i="1" s="1"/>
  <c r="AF6" i="1" s="1"/>
  <c r="Z7" i="1"/>
  <c r="AF24" i="1" l="1"/>
  <c r="AF37" i="1" s="1"/>
  <c r="AF43" i="1" s="1"/>
  <c r="AG6" i="1" s="1"/>
  <c r="AG24" i="1" s="1"/>
  <c r="AG37" i="1" s="1"/>
  <c r="AG43" i="1" s="1"/>
  <c r="AH6" i="1" s="1"/>
  <c r="AH24" i="1" s="1"/>
  <c r="AH37" i="1" s="1"/>
  <c r="AH43" i="1" s="1"/>
  <c r="AI6" i="1" s="1"/>
  <c r="AI24" i="1" s="1"/>
  <c r="AI37" i="1" s="1"/>
  <c r="AI43" i="1" s="1"/>
  <c r="AJ6" i="1" s="1"/>
  <c r="AJ24" i="1" s="1"/>
  <c r="AJ37" i="1" s="1"/>
  <c r="AJ43" i="1" s="1"/>
  <c r="AK6" i="1" s="1"/>
  <c r="AF7" i="1"/>
  <c r="AK7" i="1" l="1"/>
  <c r="AK24" i="1"/>
  <c r="AK37" i="1" s="1"/>
  <c r="AK43" i="1" s="1"/>
  <c r="AL6" i="1" s="1"/>
  <c r="AL24" i="1" s="1"/>
  <c r="AL37" i="1" s="1"/>
  <c r="AL43" i="1" s="1"/>
  <c r="AM6" i="1" s="1"/>
  <c r="AM24" i="1" s="1"/>
  <c r="AM37" i="1" s="1"/>
  <c r="AM43" i="1" s="1"/>
  <c r="AN6" i="1" s="1"/>
  <c r="AN24" i="1" s="1"/>
  <c r="AN37" i="1" s="1"/>
  <c r="AN43" i="1" s="1"/>
  <c r="AO6" i="1" s="1"/>
  <c r="AO24" i="1" s="1"/>
  <c r="AO37" i="1" s="1"/>
  <c r="AO43" i="1" s="1"/>
  <c r="AP6" i="1" s="1"/>
  <c r="AP24" i="1" l="1"/>
  <c r="AP37" i="1" s="1"/>
  <c r="AP43" i="1" s="1"/>
  <c r="AQ6" i="1" s="1"/>
  <c r="AQ24" i="1" s="1"/>
  <c r="AQ37" i="1" s="1"/>
  <c r="AQ43" i="1" s="1"/>
  <c r="AR6" i="1" s="1"/>
  <c r="AR24" i="1" s="1"/>
  <c r="AR37" i="1" s="1"/>
  <c r="AR43" i="1" s="1"/>
  <c r="AS6" i="1" s="1"/>
  <c r="AS24" i="1" s="1"/>
  <c r="AS37" i="1" s="1"/>
  <c r="AS43" i="1" s="1"/>
  <c r="AT6" i="1" s="1"/>
  <c r="AT24" i="1" s="1"/>
  <c r="AT37" i="1" s="1"/>
  <c r="AT43" i="1" s="1"/>
  <c r="AU6" i="1" s="1"/>
  <c r="AP7" i="1"/>
  <c r="AU24" i="1" l="1"/>
  <c r="AU37" i="1" s="1"/>
  <c r="AU43" i="1" s="1"/>
  <c r="AV6" i="1" s="1"/>
  <c r="AV24" i="1" s="1"/>
  <c r="AV37" i="1" s="1"/>
  <c r="AV43" i="1" s="1"/>
  <c r="AW6" i="1" s="1"/>
  <c r="AW24" i="1" s="1"/>
  <c r="AW37" i="1" s="1"/>
  <c r="AW43" i="1" s="1"/>
  <c r="AX6" i="1" s="1"/>
  <c r="AX24" i="1" s="1"/>
  <c r="AX37" i="1" s="1"/>
  <c r="AX43" i="1" s="1"/>
  <c r="AY6" i="1" s="1"/>
  <c r="AY24" i="1" s="1"/>
  <c r="AY37" i="1" s="1"/>
  <c r="AY43" i="1" s="1"/>
  <c r="AZ6" i="1" s="1"/>
  <c r="AZ24" i="1" s="1"/>
  <c r="AZ37" i="1" s="1"/>
  <c r="AZ43" i="1" s="1"/>
  <c r="BA6" i="1" s="1"/>
  <c r="AU7" i="1"/>
  <c r="BA24" i="1" l="1"/>
  <c r="BA37" i="1" s="1"/>
  <c r="BA43" i="1" s="1"/>
  <c r="BB6" i="1" s="1"/>
  <c r="BB24" i="1" s="1"/>
  <c r="BB37" i="1" s="1"/>
  <c r="BB43" i="1" s="1"/>
  <c r="BC6" i="1" s="1"/>
  <c r="BC24" i="1" s="1"/>
  <c r="BC37" i="1" s="1"/>
  <c r="BC43" i="1" s="1"/>
  <c r="BD6" i="1" s="1"/>
  <c r="BD24" i="1" s="1"/>
  <c r="BD37" i="1" s="1"/>
  <c r="BD43" i="1" s="1"/>
  <c r="BE6" i="1" s="1"/>
  <c r="BE24" i="1" s="1"/>
  <c r="BE37" i="1" s="1"/>
  <c r="BE43" i="1" s="1"/>
  <c r="BF6" i="1" s="1"/>
  <c r="BF24" i="1" s="1"/>
  <c r="BF37" i="1" s="1"/>
  <c r="BF43" i="1" s="1"/>
  <c r="BG6" i="1" s="1"/>
  <c r="BA7" i="1"/>
  <c r="BG24" i="1" l="1"/>
  <c r="BG37" i="1" s="1"/>
  <c r="BG43" i="1" s="1"/>
  <c r="BH6" i="1" s="1"/>
  <c r="BH24" i="1" s="1"/>
  <c r="BH37" i="1" s="1"/>
  <c r="BH43" i="1" s="1"/>
  <c r="BI6" i="1" s="1"/>
  <c r="BI24" i="1" s="1"/>
  <c r="BI37" i="1" s="1"/>
  <c r="BI43" i="1" s="1"/>
  <c r="BJ6" i="1" s="1"/>
  <c r="BJ24" i="1" s="1"/>
  <c r="BJ37" i="1" s="1"/>
  <c r="BJ43" i="1" s="1"/>
  <c r="BK6" i="1" s="1"/>
  <c r="BK24" i="1" s="1"/>
  <c r="BK37" i="1" s="1"/>
  <c r="BK43" i="1" s="1"/>
  <c r="BL6" i="1" s="1"/>
  <c r="BG7" i="1"/>
  <c r="BL24" i="1" l="1"/>
  <c r="BL37" i="1" s="1"/>
  <c r="BL43" i="1" s="1"/>
  <c r="BM6" i="1" s="1"/>
  <c r="BM24" i="1" s="1"/>
  <c r="BM37" i="1" s="1"/>
  <c r="BM43" i="1" s="1"/>
  <c r="BN6" i="1" s="1"/>
  <c r="BN24" i="1" s="1"/>
  <c r="BN37" i="1" s="1"/>
  <c r="BN43" i="1" s="1"/>
  <c r="BO6" i="1" s="1"/>
  <c r="BO24" i="1" s="1"/>
  <c r="BO37" i="1" s="1"/>
  <c r="BO43" i="1" s="1"/>
  <c r="BP6" i="1" s="1"/>
  <c r="BP24" i="1" s="1"/>
  <c r="BP37" i="1" s="1"/>
  <c r="BP43" i="1" s="1"/>
  <c r="BQ6" i="1" s="1"/>
  <c r="BQ24" i="1" s="1"/>
  <c r="BQ37" i="1" s="1"/>
  <c r="BL7" i="1"/>
  <c r="BQ43" i="1" l="1"/>
  <c r="BT6" i="1" s="1"/>
  <c r="BT24" i="1" s="1"/>
  <c r="BT37" i="1" s="1"/>
  <c r="BT43" i="1" s="1"/>
  <c r="BU6" i="1" s="1"/>
  <c r="BU24" i="1" s="1"/>
  <c r="BU37" i="1" s="1"/>
  <c r="BU43" i="1" s="1"/>
  <c r="BV6" i="1" s="1"/>
  <c r="BV24" i="1" s="1"/>
  <c r="BV37" i="1" s="1"/>
  <c r="BV43" i="1" s="1"/>
  <c r="BW6" i="1" s="1"/>
  <c r="BW24" i="1" s="1"/>
  <c r="BW37" i="1" s="1"/>
  <c r="BW43" i="1" s="1"/>
  <c r="BX6" i="1" s="1"/>
  <c r="BX24" i="1" s="1"/>
  <c r="BX37" i="1" s="1"/>
  <c r="BX43" i="1" s="1"/>
  <c r="BY6" i="1" s="1"/>
  <c r="BY24" i="1" s="1"/>
  <c r="BY37" i="1" s="1"/>
  <c r="BY43" i="1" s="1"/>
  <c r="BZ6" i="1" s="1"/>
  <c r="BZ24" i="1" s="1"/>
  <c r="BZ37" i="1" s="1"/>
  <c r="BZ43" i="1" s="1"/>
  <c r="CA6" i="1" s="1"/>
  <c r="CA24" i="1" s="1"/>
  <c r="CA37" i="1" s="1"/>
  <c r="CA43" i="1" s="1"/>
  <c r="CB6" i="1" s="1"/>
  <c r="CB24" i="1" s="1"/>
  <c r="CB37" i="1" s="1"/>
  <c r="CB43" i="1" s="1"/>
  <c r="BS37" i="1"/>
</calcChain>
</file>

<file path=xl/sharedStrings.xml><?xml version="1.0" encoding="utf-8"?>
<sst xmlns="http://schemas.openxmlformats.org/spreadsheetml/2006/main" count="67" uniqueCount="52">
  <si>
    <t>Estimated Cash Balance</t>
  </si>
  <si>
    <t>Week end</t>
  </si>
  <si>
    <t>TOTAL</t>
  </si>
  <si>
    <t>BUDGET</t>
  </si>
  <si>
    <t>x</t>
  </si>
  <si>
    <t>G/L</t>
  </si>
  <si>
    <t>Cash balance per G/L</t>
  </si>
  <si>
    <t>Deposits</t>
  </si>
  <si>
    <t xml:space="preserve">    State aid</t>
  </si>
  <si>
    <t xml:space="preserve">    Property taxes</t>
  </si>
  <si>
    <t xml:space="preserve">    Other revenue</t>
  </si>
  <si>
    <t xml:space="preserve">    Student activities</t>
  </si>
  <si>
    <t xml:space="preserve">    Subtotal</t>
  </si>
  <si>
    <t xml:space="preserve">    Interest income</t>
  </si>
  <si>
    <t xml:space="preserve">    Interest income - food serv</t>
  </si>
  <si>
    <t xml:space="preserve">    Interest income - rec</t>
  </si>
  <si>
    <t xml:space="preserve">    Interest income - activity</t>
  </si>
  <si>
    <t xml:space="preserve">    Less transfers to debt fund</t>
  </si>
  <si>
    <t>Withdrawals</t>
  </si>
  <si>
    <t xml:space="preserve">    A/P checks</t>
  </si>
  <si>
    <t xml:space="preserve">    Payroll gross</t>
  </si>
  <si>
    <t xml:space="preserve"> </t>
  </si>
  <si>
    <t xml:space="preserve">    Payroll taxes</t>
  </si>
  <si>
    <t xml:space="preserve">    MPSERS .0451</t>
  </si>
  <si>
    <t xml:space="preserve">    Health insurance</t>
  </si>
  <si>
    <t>Balance</t>
  </si>
  <si>
    <t>Investments out</t>
  </si>
  <si>
    <t>Investments in</t>
  </si>
  <si>
    <t xml:space="preserve">    Adjustment &amp; property sale</t>
  </si>
  <si>
    <t xml:space="preserve">  </t>
  </si>
  <si>
    <t xml:space="preserve">    EFT transfers</t>
  </si>
  <si>
    <t>2004-2005</t>
  </si>
  <si>
    <t>h:/Cash &amp; Banking/2005 Actual Cash</t>
  </si>
  <si>
    <t>CD's coming due in future</t>
  </si>
  <si>
    <t xml:space="preserve">    Health checking account</t>
  </si>
  <si>
    <t xml:space="preserve">    Transfer to/from other funds</t>
  </si>
  <si>
    <t>Dec</t>
  </si>
  <si>
    <t>CS</t>
  </si>
  <si>
    <t xml:space="preserve">    Postage &amp; bank fees</t>
  </si>
  <si>
    <t xml:space="preserve">    MPSERS not paid until nxt mth</t>
  </si>
  <si>
    <t xml:space="preserve">    OAISD Act 18</t>
  </si>
  <si>
    <t>CSB</t>
  </si>
  <si>
    <t>CSB on 7/12</t>
  </si>
  <si>
    <t>Flagstar 8/3</t>
  </si>
  <si>
    <t>Flagstar</t>
  </si>
  <si>
    <t>Flag 9/28</t>
  </si>
  <si>
    <t>Flag 9/24</t>
  </si>
  <si>
    <t>to MBIA</t>
  </si>
  <si>
    <t xml:space="preserve">    Transfer to Bond fund</t>
  </si>
  <si>
    <t>in Tues Class</t>
  </si>
  <si>
    <t>in Mon Class</t>
  </si>
  <si>
    <t>CS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</si>
</sst>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9" formatCode="_(&quot;$&quot;* #,##0_);_(&quot;$&quot;* \(#,##0\);_(&quot;$&quot;* &quot;-&quot;??_);_(@_)"/>
  </numFmts>
  <fonts count="6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1" applyNumberFormat="1" applyFont="1"/>
    <xf numFmtId="165" fontId="0" fillId="0" borderId="1" xfId="1" applyNumberFormat="1" applyFont="1" applyBorder="1"/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/>
    <xf numFmtId="165" fontId="0" fillId="0" borderId="0" xfId="1" applyNumberFormat="1" applyFont="1" applyBorder="1"/>
    <xf numFmtId="165" fontId="0" fillId="0" borderId="2" xfId="0" applyNumberFormat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0" fontId="0" fillId="0" borderId="1" xfId="0" applyBorder="1"/>
    <xf numFmtId="14" fontId="0" fillId="0" borderId="0" xfId="0" applyNumberFormat="1"/>
    <xf numFmtId="16" fontId="0" fillId="0" borderId="0" xfId="0" applyNumberFormat="1"/>
    <xf numFmtId="165" fontId="0" fillId="0" borderId="2" xfId="1" applyNumberFormat="1" applyFont="1" applyBorder="1"/>
    <xf numFmtId="169" fontId="0" fillId="0" borderId="0" xfId="2" applyNumberFormat="1" applyFont="1"/>
    <xf numFmtId="0" fontId="0" fillId="0" borderId="0" xfId="0" applyBorder="1"/>
    <xf numFmtId="16" fontId="0" fillId="0" borderId="0" xfId="0" applyNumberFormat="1" applyAlignment="1">
      <alignment horizontal="center"/>
    </xf>
    <xf numFmtId="165" fontId="0" fillId="0" borderId="0" xfId="0" applyNumberFormat="1" applyBorder="1"/>
    <xf numFmtId="0" fontId="3" fillId="0" borderId="0" xfId="0" applyFont="1"/>
    <xf numFmtId="165" fontId="0" fillId="0" borderId="0" xfId="1" quotePrefix="1" applyNumberFormat="1" applyFont="1"/>
    <xf numFmtId="169" fontId="0" fillId="0" borderId="0" xfId="0" applyNumberFormat="1"/>
    <xf numFmtId="165" fontId="0" fillId="0" borderId="0" xfId="1" applyNumberFormat="1" applyFont="1" applyAlignment="1">
      <alignment horizontal="right"/>
    </xf>
    <xf numFmtId="165" fontId="4" fillId="0" borderId="0" xfId="1" applyNumberFormat="1" applyFont="1"/>
    <xf numFmtId="43" fontId="0" fillId="0" borderId="0" xfId="1" applyFont="1"/>
    <xf numFmtId="16" fontId="0" fillId="0" borderId="0" xfId="0" quotePrefix="1" applyNumberFormat="1"/>
    <xf numFmtId="165" fontId="4" fillId="0" borderId="1" xfId="1" applyNumberFormat="1" applyFont="1" applyBorder="1"/>
    <xf numFmtId="0" fontId="0" fillId="0" borderId="0" xfId="0" applyAlignment="1">
      <alignment horizontal="right"/>
    </xf>
    <xf numFmtId="16" fontId="4" fillId="0" borderId="0" xfId="0" applyNumberFormat="1" applyFont="1"/>
    <xf numFmtId="165" fontId="5" fillId="0" borderId="0" xfId="1" applyNumberFormat="1" applyFont="1"/>
    <xf numFmtId="165" fontId="5" fillId="0" borderId="1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4"/>
  <sheetViews>
    <sheetView tabSelected="1" topLeftCell="A4" workbookViewId="0">
      <pane xSplit="3" ySplit="1" topLeftCell="D5" activePane="bottomRight" state="frozen"/>
      <selection activeCell="A4" sqref="A4"/>
      <selection pane="topRight" activeCell="D4" sqref="D4"/>
      <selection pane="bottomLeft" activeCell="A5" sqref="A5"/>
      <selection pane="bottomRight" activeCell="AG42" sqref="AG42"/>
    </sheetView>
  </sheetViews>
  <sheetFormatPr defaultRowHeight="12.75" x14ac:dyDescent="0.2"/>
  <cols>
    <col min="3" max="3" width="10.28515625" bestFit="1" customWidth="1"/>
    <col min="4" max="69" width="11.7109375" customWidth="1"/>
    <col min="70" max="70" width="12.85546875" customWidth="1"/>
    <col min="71" max="71" width="15.7109375" customWidth="1"/>
    <col min="72" max="80" width="11.7109375" customWidth="1"/>
  </cols>
  <sheetData>
    <row r="1" spans="1:80" x14ac:dyDescent="0.2">
      <c r="A1" t="s">
        <v>0</v>
      </c>
    </row>
    <row r="2" spans="1:80" x14ac:dyDescent="0.2">
      <c r="A2" t="s">
        <v>31</v>
      </c>
    </row>
    <row r="3" spans="1:80" x14ac:dyDescent="0.2">
      <c r="A3" s="19" t="s">
        <v>32</v>
      </c>
      <c r="U3" t="s">
        <v>1</v>
      </c>
      <c r="AO3" s="13">
        <v>37287</v>
      </c>
    </row>
    <row r="4" spans="1:80" x14ac:dyDescent="0.2">
      <c r="D4" s="12">
        <v>39269</v>
      </c>
      <c r="E4" s="12">
        <v>39276</v>
      </c>
      <c r="F4" s="13">
        <v>39283</v>
      </c>
      <c r="G4" s="13">
        <v>38925</v>
      </c>
      <c r="H4" s="13">
        <v>38929</v>
      </c>
      <c r="I4" s="13">
        <v>38932</v>
      </c>
      <c r="J4" s="13">
        <v>38939</v>
      </c>
      <c r="K4" s="13">
        <v>38946</v>
      </c>
      <c r="L4" s="13">
        <v>39318</v>
      </c>
      <c r="M4" s="13">
        <v>38960</v>
      </c>
      <c r="N4" s="13">
        <v>39325</v>
      </c>
      <c r="O4" s="13">
        <v>39332</v>
      </c>
      <c r="P4" s="13">
        <v>39339</v>
      </c>
      <c r="Q4" s="13">
        <v>39346</v>
      </c>
      <c r="R4" s="13">
        <v>39353</v>
      </c>
      <c r="S4" s="17">
        <v>39355</v>
      </c>
      <c r="T4" s="13">
        <v>39360</v>
      </c>
      <c r="U4" s="3">
        <v>39367</v>
      </c>
      <c r="V4" s="4">
        <v>39374</v>
      </c>
      <c r="W4" s="3">
        <v>39381</v>
      </c>
      <c r="X4" s="3">
        <v>37560</v>
      </c>
      <c r="Y4" s="3">
        <v>39386</v>
      </c>
      <c r="Z4" s="3">
        <v>39388</v>
      </c>
      <c r="AA4" s="3">
        <v>39395</v>
      </c>
      <c r="AB4" s="3">
        <v>39402</v>
      </c>
      <c r="AC4" s="3">
        <v>39409</v>
      </c>
      <c r="AD4" s="3">
        <v>38321</v>
      </c>
      <c r="AE4" s="3">
        <v>39416</v>
      </c>
      <c r="AF4" s="3">
        <v>39423</v>
      </c>
      <c r="AG4" s="3">
        <v>39430</v>
      </c>
      <c r="AH4" s="3">
        <v>39437</v>
      </c>
      <c r="AI4" s="3">
        <v>39444</v>
      </c>
      <c r="AJ4" s="3" t="s">
        <v>36</v>
      </c>
      <c r="AK4" s="3">
        <v>39086</v>
      </c>
      <c r="AL4" s="3">
        <v>39093</v>
      </c>
      <c r="AM4" s="3">
        <v>39100</v>
      </c>
      <c r="AN4" s="3">
        <v>39107</v>
      </c>
      <c r="AO4" s="3">
        <v>37652</v>
      </c>
      <c r="AP4" s="3">
        <v>39114</v>
      </c>
      <c r="AQ4" s="4">
        <v>39486</v>
      </c>
      <c r="AR4" s="4">
        <v>39493</v>
      </c>
      <c r="AS4" s="3">
        <v>39136</v>
      </c>
      <c r="AT4" s="3">
        <v>39507</v>
      </c>
      <c r="AU4" s="3">
        <v>39507</v>
      </c>
      <c r="AV4" s="3">
        <v>39148</v>
      </c>
      <c r="AW4" s="3">
        <v>39155</v>
      </c>
      <c r="AX4" s="3">
        <v>39162</v>
      </c>
      <c r="AY4" s="3">
        <v>39169</v>
      </c>
      <c r="AZ4" s="3">
        <v>38807</v>
      </c>
      <c r="BA4" s="3">
        <v>39176</v>
      </c>
      <c r="BB4" s="3">
        <v>39183</v>
      </c>
      <c r="BC4" s="3">
        <v>39190</v>
      </c>
      <c r="BD4" s="3">
        <v>39197</v>
      </c>
      <c r="BE4" s="3">
        <v>39202</v>
      </c>
      <c r="BF4" s="3">
        <v>38472</v>
      </c>
      <c r="BG4" s="3">
        <v>39204</v>
      </c>
      <c r="BH4" s="3">
        <v>39211</v>
      </c>
      <c r="BI4" s="3">
        <v>39218</v>
      </c>
      <c r="BJ4" s="3">
        <v>39225</v>
      </c>
      <c r="BK4" s="3">
        <v>38867</v>
      </c>
      <c r="BL4" s="3">
        <v>39239</v>
      </c>
      <c r="BM4" s="3">
        <v>39246</v>
      </c>
      <c r="BN4" s="3">
        <v>39253</v>
      </c>
      <c r="BO4" s="3">
        <v>39260</v>
      </c>
      <c r="BP4" s="3">
        <v>39263</v>
      </c>
      <c r="BQ4" s="3">
        <v>38168</v>
      </c>
      <c r="BR4" s="8" t="s">
        <v>2</v>
      </c>
      <c r="BS4" t="s">
        <v>3</v>
      </c>
      <c r="BT4" s="13">
        <v>38905</v>
      </c>
      <c r="BU4" s="13">
        <v>38912</v>
      </c>
      <c r="BV4" s="13">
        <v>38919</v>
      </c>
      <c r="BW4" s="13">
        <v>38926</v>
      </c>
      <c r="BX4" s="13">
        <v>38929</v>
      </c>
      <c r="BY4" s="13">
        <v>38936</v>
      </c>
      <c r="BZ4" s="13">
        <v>38943</v>
      </c>
      <c r="CA4" s="13">
        <v>38950</v>
      </c>
      <c r="CB4" s="13">
        <v>38957</v>
      </c>
    </row>
    <row r="5" spans="1:80" x14ac:dyDescent="0.2">
      <c r="D5" s="24"/>
      <c r="I5" s="1">
        <v>242338</v>
      </c>
      <c r="N5" s="1"/>
      <c r="O5" s="1">
        <v>1078669</v>
      </c>
      <c r="S5" s="1"/>
      <c r="T5" s="1">
        <v>4983638</v>
      </c>
      <c r="U5" s="1"/>
      <c r="V5" s="1"/>
      <c r="W5" s="1"/>
      <c r="X5" s="1"/>
      <c r="Y5" s="1"/>
      <c r="Z5" s="1">
        <v>512868</v>
      </c>
      <c r="AA5" s="1"/>
      <c r="AB5" s="1"/>
      <c r="AC5" s="1"/>
      <c r="AD5" s="1"/>
      <c r="AE5" s="1"/>
      <c r="AF5" s="1">
        <v>484950</v>
      </c>
      <c r="AG5" s="1" t="s">
        <v>5</v>
      </c>
      <c r="AH5" s="1"/>
      <c r="AI5" s="1"/>
      <c r="AJ5" s="1"/>
      <c r="AK5" s="1">
        <v>340052</v>
      </c>
      <c r="AL5" s="1"/>
      <c r="AM5" s="1"/>
      <c r="AN5" s="1"/>
      <c r="AO5" s="1"/>
      <c r="AP5" s="1">
        <v>811182</v>
      </c>
      <c r="AQ5" s="1"/>
      <c r="AR5" s="1"/>
      <c r="AS5" s="1"/>
      <c r="AT5" s="1"/>
      <c r="AU5" s="1">
        <v>2621757</v>
      </c>
      <c r="AV5" s="1"/>
      <c r="AW5" s="1"/>
      <c r="AX5" s="1"/>
      <c r="AY5" s="1"/>
      <c r="AZ5" s="1"/>
      <c r="BA5" s="1">
        <v>194614</v>
      </c>
      <c r="BB5" s="1"/>
      <c r="BC5" s="1"/>
      <c r="BD5" s="1"/>
      <c r="BE5" s="1"/>
      <c r="BF5" s="1"/>
      <c r="BG5" s="1">
        <v>582195</v>
      </c>
      <c r="BH5" s="1"/>
      <c r="BI5" s="1"/>
      <c r="BJ5" s="1"/>
      <c r="BK5" s="1"/>
      <c r="BL5" s="1">
        <v>222892</v>
      </c>
      <c r="BM5" s="1"/>
      <c r="BN5" s="1"/>
      <c r="BO5" s="1"/>
      <c r="BP5" s="1"/>
      <c r="BQ5" s="1"/>
      <c r="BR5" s="1"/>
    </row>
    <row r="6" spans="1:80" x14ac:dyDescent="0.2">
      <c r="A6" s="5" t="s">
        <v>6</v>
      </c>
      <c r="D6" s="15">
        <v>4297507</v>
      </c>
      <c r="E6" s="9">
        <f>+D43</f>
        <v>56676</v>
      </c>
      <c r="F6" s="9">
        <f t="shared" ref="F6:AI6" si="0">+E43</f>
        <v>2465835</v>
      </c>
      <c r="G6" s="9">
        <f t="shared" si="0"/>
        <v>3721756</v>
      </c>
      <c r="H6" s="9">
        <f t="shared" si="0"/>
        <v>-76509.189999999944</v>
      </c>
      <c r="I6" s="9">
        <f t="shared" si="0"/>
        <v>242337.81000000006</v>
      </c>
      <c r="J6" s="9">
        <f t="shared" si="0"/>
        <v>158939.31000000006</v>
      </c>
      <c r="K6" s="9">
        <f t="shared" si="0"/>
        <v>59238.310000000056</v>
      </c>
      <c r="L6" s="9">
        <f t="shared" si="0"/>
        <v>-167107.68999999994</v>
      </c>
      <c r="M6" s="9">
        <f t="shared" si="0"/>
        <v>-67374.689999999944</v>
      </c>
      <c r="N6" s="9">
        <f t="shared" si="0"/>
        <v>462484.31000000006</v>
      </c>
      <c r="O6" s="9">
        <f t="shared" si="0"/>
        <v>1078669.31</v>
      </c>
      <c r="P6" s="9">
        <f t="shared" si="0"/>
        <v>245769.31000000006</v>
      </c>
      <c r="Q6" s="9">
        <f t="shared" si="0"/>
        <v>-717758.69</v>
      </c>
      <c r="R6" s="9">
        <f t="shared" si="0"/>
        <v>-784689.69</v>
      </c>
      <c r="S6" s="9">
        <f t="shared" si="0"/>
        <v>-540277.68999999994</v>
      </c>
      <c r="T6" s="9">
        <f t="shared" si="0"/>
        <v>4983638.3100000005</v>
      </c>
      <c r="U6" s="9">
        <f t="shared" si="0"/>
        <v>-183240.68999999948</v>
      </c>
      <c r="V6" s="9">
        <f t="shared" si="0"/>
        <v>151186.81000000052</v>
      </c>
      <c r="W6" s="9">
        <f t="shared" si="0"/>
        <v>454941.81000000052</v>
      </c>
      <c r="X6" s="9">
        <f t="shared" si="0"/>
        <v>95779.310000000522</v>
      </c>
      <c r="Y6" s="9">
        <f t="shared" si="0"/>
        <v>273027.31000000052</v>
      </c>
      <c r="Z6" s="9">
        <f t="shared" si="0"/>
        <v>512868.31000000052</v>
      </c>
      <c r="AA6" s="9">
        <f t="shared" si="0"/>
        <v>401051.31000000052</v>
      </c>
      <c r="AB6" s="9">
        <f t="shared" si="0"/>
        <v>-244545.18999999948</v>
      </c>
      <c r="AC6" s="9">
        <f t="shared" si="0"/>
        <v>202824.81000000052</v>
      </c>
      <c r="AD6" s="9">
        <f t="shared" si="0"/>
        <v>371395.81000000052</v>
      </c>
      <c r="AE6" s="9">
        <f t="shared" si="0"/>
        <v>364412.81000000052</v>
      </c>
      <c r="AF6" s="9">
        <f t="shared" si="0"/>
        <v>484949.81000000052</v>
      </c>
      <c r="AG6" s="9">
        <f t="shared" si="0"/>
        <v>-37641.689999999478</v>
      </c>
      <c r="AH6" s="9">
        <f t="shared" si="0"/>
        <v>-33018.689999999478</v>
      </c>
      <c r="AI6" s="9">
        <f t="shared" si="0"/>
        <v>56160.310000000522</v>
      </c>
      <c r="AJ6" s="9">
        <f t="shared" ref="AJ6:BQ6" si="1">+AI43</f>
        <v>289265.31000000052</v>
      </c>
      <c r="AK6" s="9">
        <f t="shared" si="1"/>
        <v>329026.31000000052</v>
      </c>
      <c r="AL6" s="9">
        <f t="shared" si="1"/>
        <v>1321792.8100000005</v>
      </c>
      <c r="AM6" s="9">
        <f t="shared" si="1"/>
        <v>1645120.8100000005</v>
      </c>
      <c r="AN6" s="9">
        <f t="shared" si="1"/>
        <v>1372898.8100000005</v>
      </c>
      <c r="AO6" s="9">
        <f t="shared" si="1"/>
        <v>2521186.1890000007</v>
      </c>
      <c r="AP6" s="9">
        <f t="shared" si="1"/>
        <v>3230390.1890000007</v>
      </c>
      <c r="AQ6" s="9">
        <f t="shared" si="1"/>
        <v>4530774.6890000012</v>
      </c>
      <c r="AR6" s="9">
        <f t="shared" si="1"/>
        <v>4628384.6890000012</v>
      </c>
      <c r="AS6" s="9">
        <f>+AR43</f>
        <v>3668275.1890000012</v>
      </c>
      <c r="AT6" s="9">
        <f t="shared" si="1"/>
        <v>5294135.1890000012</v>
      </c>
      <c r="AU6" s="9">
        <f t="shared" si="1"/>
        <v>6324790.1890000012</v>
      </c>
      <c r="AV6" s="9">
        <f t="shared" si="1"/>
        <v>9136851.8556666672</v>
      </c>
      <c r="AW6" s="9">
        <f t="shared" si="1"/>
        <v>9201345.8556666672</v>
      </c>
      <c r="AX6" s="9">
        <f t="shared" si="1"/>
        <v>7823213.8556666672</v>
      </c>
      <c r="AY6" s="9">
        <f t="shared" si="1"/>
        <v>9166997.8556666672</v>
      </c>
      <c r="AZ6" s="9">
        <f t="shared" si="1"/>
        <v>7574973.8556666672</v>
      </c>
      <c r="BA6" s="9">
        <f t="shared" si="1"/>
        <v>7691958.8556666672</v>
      </c>
      <c r="BB6" s="9">
        <f t="shared" si="1"/>
        <v>7694902.8556666672</v>
      </c>
      <c r="BC6" s="9">
        <f t="shared" si="1"/>
        <v>6550044.8556666672</v>
      </c>
      <c r="BD6" s="9">
        <f t="shared" si="1"/>
        <v>8375156.8556666672</v>
      </c>
      <c r="BE6" s="9">
        <f t="shared" si="1"/>
        <v>8812134.8556666672</v>
      </c>
      <c r="BF6" s="9">
        <f t="shared" si="1"/>
        <v>8900707.8556666672</v>
      </c>
      <c r="BG6" s="9">
        <f t="shared" si="1"/>
        <v>8907105.8556666672</v>
      </c>
      <c r="BH6" s="9">
        <f t="shared" si="1"/>
        <v>8809931.8556666672</v>
      </c>
      <c r="BI6" s="9">
        <f t="shared" si="1"/>
        <v>7382340.8556666672</v>
      </c>
      <c r="BJ6" s="9">
        <f t="shared" si="1"/>
        <v>7385093.8556666672</v>
      </c>
      <c r="BK6" s="9">
        <f t="shared" si="1"/>
        <v>7347885.2656666674</v>
      </c>
      <c r="BL6" s="9">
        <f t="shared" si="1"/>
        <v>7364615.2656666674</v>
      </c>
      <c r="BM6" s="9">
        <f t="shared" si="1"/>
        <v>5123366.445166667</v>
      </c>
      <c r="BN6" s="9">
        <f t="shared" si="1"/>
        <v>4993067.445166667</v>
      </c>
      <c r="BO6" s="9">
        <f t="shared" si="1"/>
        <v>5799206.445166667</v>
      </c>
      <c r="BP6" s="9">
        <f t="shared" si="1"/>
        <v>5149245.445166667</v>
      </c>
      <c r="BQ6" s="9">
        <f t="shared" si="1"/>
        <v>5068170.445166667</v>
      </c>
      <c r="BR6" s="21">
        <f>+D6</f>
        <v>4297507</v>
      </c>
      <c r="BT6" s="9">
        <f>+BQ43</f>
        <v>5062368.445166667</v>
      </c>
      <c r="BU6" s="1">
        <f>+BT43</f>
        <v>3826793.8651666669</v>
      </c>
      <c r="BV6" s="1">
        <f t="shared" ref="BV6:CB6" si="2">+BU43</f>
        <v>3501368.8651666669</v>
      </c>
      <c r="BW6" s="1">
        <f t="shared" si="2"/>
        <v>4522325.8430666663</v>
      </c>
      <c r="BX6" s="1">
        <f t="shared" si="2"/>
        <v>3666962.8430666663</v>
      </c>
      <c r="BY6" s="1">
        <f t="shared" si="2"/>
        <v>3399242.8660666663</v>
      </c>
      <c r="BZ6" s="1">
        <f t="shared" si="2"/>
        <v>3583349.8660666663</v>
      </c>
      <c r="CA6" s="1">
        <f t="shared" si="2"/>
        <v>2717842.8660666663</v>
      </c>
      <c r="CB6" s="1">
        <f t="shared" si="2"/>
        <v>4922270.8660666663</v>
      </c>
    </row>
    <row r="7" spans="1:80" x14ac:dyDescent="0.2">
      <c r="B7" s="27"/>
      <c r="C7" s="1"/>
      <c r="D7" s="21"/>
      <c r="I7" s="9">
        <f>+I5-I6</f>
        <v>0.18999999994412065</v>
      </c>
      <c r="N7" s="9"/>
      <c r="O7" s="9">
        <f>+O5-O6</f>
        <v>-0.31000000005587935</v>
      </c>
      <c r="S7" s="9"/>
      <c r="T7" s="9">
        <f>+T6-T5</f>
        <v>0.31000000052154064</v>
      </c>
      <c r="U7" s="1"/>
      <c r="V7" s="1"/>
      <c r="W7" s="1"/>
      <c r="X7" s="1"/>
      <c r="Y7" s="9"/>
      <c r="Z7" s="9">
        <f>+Z5-Z6</f>
        <v>-0.31000000052154064</v>
      </c>
      <c r="AA7" s="1"/>
      <c r="AB7" s="1"/>
      <c r="AC7" s="1"/>
      <c r="AD7" s="1"/>
      <c r="AE7" s="9"/>
      <c r="AF7" s="1">
        <f>+AF5-AF6</f>
        <v>0.18999999947845936</v>
      </c>
      <c r="AG7" s="1"/>
      <c r="AH7" s="1"/>
      <c r="AI7" s="1"/>
      <c r="AJ7" s="9"/>
      <c r="AK7" s="9">
        <f>+AK5-AK6</f>
        <v>11025.689999999478</v>
      </c>
      <c r="AL7" s="1"/>
      <c r="AM7" s="1"/>
      <c r="AN7" s="1"/>
      <c r="AO7" s="1"/>
      <c r="AP7" s="1">
        <f>+AP6-AP5</f>
        <v>2419208.1890000007</v>
      </c>
      <c r="AU7" s="1">
        <f>+AU6-AU5</f>
        <v>3703033.1890000012</v>
      </c>
      <c r="AZ7" s="9"/>
      <c r="BA7" s="9">
        <f>+BA5-BA6</f>
        <v>-7497344.8556666672</v>
      </c>
      <c r="BB7" s="9"/>
      <c r="BG7" s="9">
        <f>+BG6-BG5</f>
        <v>8324910.8556666672</v>
      </c>
      <c r="BL7" s="9">
        <f>+BL6-BL5</f>
        <v>7141723.2656666674</v>
      </c>
      <c r="BM7" s="9"/>
      <c r="BS7" s="1"/>
    </row>
    <row r="8" spans="1:80" x14ac:dyDescent="0.2">
      <c r="A8" s="5" t="s">
        <v>7</v>
      </c>
      <c r="B8" s="27"/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BS8" s="1"/>
    </row>
    <row r="9" spans="1:80" x14ac:dyDescent="0.2">
      <c r="A9" s="16" t="s">
        <v>8</v>
      </c>
      <c r="B9" s="16"/>
      <c r="C9" s="16"/>
      <c r="D9" s="6">
        <v>0</v>
      </c>
      <c r="E9" s="6"/>
      <c r="F9" s="6">
        <v>2323149</v>
      </c>
      <c r="G9" s="6"/>
      <c r="H9" s="6"/>
      <c r="I9" s="6"/>
      <c r="J9" s="6"/>
      <c r="K9" s="6"/>
      <c r="L9" s="6">
        <v>2286684</v>
      </c>
      <c r="M9" s="6"/>
      <c r="N9" s="6"/>
      <c r="O9" s="6"/>
      <c r="P9" s="6"/>
      <c r="Q9" s="6"/>
      <c r="R9" s="6"/>
      <c r="S9" s="6"/>
      <c r="T9" s="6"/>
      <c r="U9" s="6"/>
      <c r="V9" s="6"/>
      <c r="W9" s="6">
        <v>2505409</v>
      </c>
      <c r="X9" s="6"/>
      <c r="Y9" s="6"/>
      <c r="Z9" s="6"/>
      <c r="AA9" s="6"/>
      <c r="AB9" s="6"/>
      <c r="AC9" s="6">
        <v>2624533</v>
      </c>
      <c r="AD9" s="6"/>
      <c r="AE9" s="6"/>
      <c r="AF9" s="6"/>
      <c r="AG9" s="6"/>
      <c r="AH9" s="6">
        <v>2519677</v>
      </c>
      <c r="AI9" s="6"/>
      <c r="AJ9" s="6"/>
      <c r="AK9" s="6"/>
      <c r="AL9" s="6"/>
      <c r="AM9" s="6"/>
      <c r="AN9" s="6">
        <v>2489683</v>
      </c>
      <c r="AO9" s="6"/>
      <c r="AP9" s="6"/>
      <c r="AQ9" s="16"/>
      <c r="AR9" s="6"/>
      <c r="AS9" s="6">
        <v>2489683</v>
      </c>
      <c r="AT9" s="6"/>
      <c r="AU9" s="16"/>
      <c r="AV9" s="16"/>
      <c r="AW9" s="6">
        <v>0</v>
      </c>
      <c r="AX9" s="6">
        <v>2489683</v>
      </c>
      <c r="AY9" s="6"/>
      <c r="AZ9" s="16"/>
      <c r="BA9" s="16"/>
      <c r="BB9" s="16"/>
      <c r="BC9" s="6"/>
      <c r="BD9" s="6">
        <v>2489683</v>
      </c>
      <c r="BE9" s="16"/>
      <c r="BF9" s="16"/>
      <c r="BG9" s="6"/>
      <c r="BH9" s="6"/>
      <c r="BI9" s="6"/>
      <c r="BJ9" s="6">
        <v>2489683</v>
      </c>
      <c r="BK9" s="6"/>
      <c r="BL9" s="6"/>
      <c r="BM9" s="6"/>
      <c r="BN9" s="6">
        <v>2489683</v>
      </c>
      <c r="BO9" s="6"/>
      <c r="BP9" s="6"/>
      <c r="BQ9" s="6"/>
      <c r="BR9" s="18">
        <f>SUM(D9:BQ9)</f>
        <v>27197550</v>
      </c>
      <c r="BS9" s="6"/>
      <c r="BT9" s="6">
        <v>0</v>
      </c>
      <c r="BU9" s="6"/>
      <c r="BV9" s="6">
        <v>2554141</v>
      </c>
      <c r="BW9" s="6"/>
      <c r="BX9" s="6"/>
      <c r="BY9" s="6"/>
      <c r="BZ9" s="6"/>
      <c r="CA9" s="6">
        <v>2554141</v>
      </c>
      <c r="CB9" s="6"/>
    </row>
    <row r="10" spans="1:80" x14ac:dyDescent="0.2">
      <c r="A10" t="s">
        <v>9</v>
      </c>
      <c r="D10" s="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>
        <f>669210+149370+157688</f>
        <v>976268</v>
      </c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9">
        <f>SUM(D10:BQ10)</f>
        <v>976268</v>
      </c>
      <c r="BS10" s="1"/>
      <c r="BT10" s="1">
        <v>0</v>
      </c>
      <c r="BU10" s="1"/>
      <c r="BV10" s="1"/>
      <c r="BW10" s="1"/>
      <c r="BX10" s="1"/>
      <c r="BY10" s="1"/>
      <c r="BZ10" s="1"/>
      <c r="CA10" s="1"/>
      <c r="CB10" s="1"/>
    </row>
    <row r="11" spans="1:80" x14ac:dyDescent="0.2">
      <c r="A11" t="s">
        <v>9</v>
      </c>
      <c r="D11" s="1">
        <v>4366</v>
      </c>
      <c r="E11" s="1">
        <v>0</v>
      </c>
      <c r="F11" s="1">
        <v>35745</v>
      </c>
      <c r="G11" s="1">
        <v>6419</v>
      </c>
      <c r="H11" s="1">
        <f>74907+34309+23058+99134+6858</f>
        <v>238266</v>
      </c>
      <c r="I11" s="1"/>
      <c r="J11" s="1">
        <v>17139</v>
      </c>
      <c r="K11" s="1">
        <f>126542+50603+40935</f>
        <v>218080</v>
      </c>
      <c r="L11" s="1">
        <f>16265+38225+163151</f>
        <v>217641</v>
      </c>
      <c r="M11" s="1">
        <f>43576+140939+29239</f>
        <v>213754</v>
      </c>
      <c r="N11" s="1">
        <f>19291+77468+24164</f>
        <v>120923</v>
      </c>
      <c r="O11" s="1">
        <v>254331</v>
      </c>
      <c r="P11" s="1">
        <f>16956+333728+61974</f>
        <v>412658</v>
      </c>
      <c r="Q11" s="1">
        <f>234048+83338+426595+504919+391657</f>
        <v>1640557</v>
      </c>
      <c r="R11" s="1">
        <v>268235</v>
      </c>
      <c r="S11" s="1">
        <f>186+39394+3166956+1854260</f>
        <v>5060796</v>
      </c>
      <c r="T11" s="1">
        <f>1971362+62424</f>
        <v>2033786</v>
      </c>
      <c r="U11" s="1">
        <f>43280+481</f>
        <v>43761</v>
      </c>
      <c r="V11" s="1">
        <f>16548+740298+109392</f>
        <v>866238</v>
      </c>
      <c r="W11" s="1">
        <f>5772+25131+8500</f>
        <v>39403</v>
      </c>
      <c r="X11" s="1">
        <f>5854+5049+29941+44680+13728</f>
        <v>99252</v>
      </c>
      <c r="Y11" s="1"/>
      <c r="Z11" s="1">
        <v>0</v>
      </c>
      <c r="AA11" s="1"/>
      <c r="AB11" s="1">
        <f>10247+2904+310</f>
        <v>13461</v>
      </c>
      <c r="AC11" s="1">
        <f>16888+8214</f>
        <v>25102</v>
      </c>
      <c r="AD11" s="1">
        <f>10499+9556</f>
        <v>20055</v>
      </c>
      <c r="AE11" s="1">
        <f>20113+1052</f>
        <v>21165</v>
      </c>
      <c r="AF11" s="1">
        <v>0</v>
      </c>
      <c r="AG11" s="1">
        <f>4051+1443</f>
        <v>5494</v>
      </c>
      <c r="AH11" s="1">
        <v>36000</v>
      </c>
      <c r="AI11" s="1">
        <f>34809+30287+62595+242298+72423</f>
        <v>442412</v>
      </c>
      <c r="AJ11" s="1">
        <v>0</v>
      </c>
      <c r="AK11" s="1">
        <v>49061</v>
      </c>
      <c r="AL11" s="1">
        <v>0</v>
      </c>
      <c r="AM11" s="1">
        <f>131993+125145+454179+100954</f>
        <v>812271</v>
      </c>
      <c r="AN11" s="1">
        <f>13084+46859</f>
        <v>59943</v>
      </c>
      <c r="AO11" s="1">
        <v>603868</v>
      </c>
      <c r="AP11" s="1">
        <v>0</v>
      </c>
      <c r="AQ11" s="1">
        <f>33602+62990+20722</f>
        <v>117314</v>
      </c>
      <c r="AR11" s="1">
        <f>50785+145645+314696+78424</f>
        <v>589550</v>
      </c>
      <c r="AS11" s="1">
        <f>203820+185882+36781</f>
        <v>426483</v>
      </c>
      <c r="AT11" s="1">
        <f>147779+170234+1960373</f>
        <v>2278386</v>
      </c>
      <c r="AU11" s="1">
        <f>4058234+223538</f>
        <v>4281772</v>
      </c>
      <c r="AV11" s="1">
        <v>131965</v>
      </c>
      <c r="AW11" s="1">
        <v>39402</v>
      </c>
      <c r="AX11" s="1">
        <f>283451+16593+362285</f>
        <v>662329</v>
      </c>
      <c r="AY11" s="1">
        <v>0</v>
      </c>
      <c r="AZ11" s="1"/>
      <c r="BA11" s="23">
        <f>68287+52081</f>
        <v>120368</v>
      </c>
      <c r="BB11" s="1"/>
      <c r="BC11" s="1">
        <v>1002301</v>
      </c>
      <c r="BD11" s="1"/>
      <c r="BE11" s="1">
        <v>2230</v>
      </c>
      <c r="BF11" s="1">
        <v>0</v>
      </c>
      <c r="BG11" s="1"/>
      <c r="BH11" s="1">
        <v>1047</v>
      </c>
      <c r="BI11" s="1">
        <v>0</v>
      </c>
      <c r="BJ11" s="1">
        <v>15960</v>
      </c>
      <c r="BK11" s="1"/>
      <c r="BL11" s="1"/>
      <c r="BM11" s="1"/>
      <c r="BN11" s="1">
        <v>0</v>
      </c>
      <c r="BO11" s="1">
        <v>0</v>
      </c>
      <c r="BP11" s="1">
        <f>95230+30390</f>
        <v>125620</v>
      </c>
      <c r="BQ11" s="22"/>
      <c r="BR11" s="9">
        <f>SUM(D11:BQ11)</f>
        <v>23674909</v>
      </c>
      <c r="BS11" s="1"/>
      <c r="BT11" s="1">
        <v>457</v>
      </c>
      <c r="BU11" s="1"/>
      <c r="BV11" s="1">
        <v>9838</v>
      </c>
      <c r="BW11" s="1">
        <f>17706+827+63659+4634+57667</f>
        <v>144493</v>
      </c>
      <c r="BX11" s="1"/>
      <c r="BY11" s="1">
        <f>25405+145931+47337+31408</f>
        <v>250081</v>
      </c>
      <c r="BZ11" s="1">
        <f>30065+96419+23353</f>
        <v>149837</v>
      </c>
      <c r="CA11" s="1">
        <f>92556+105847</f>
        <v>198403</v>
      </c>
      <c r="CB11" s="1">
        <f>56237+24778+28453+120028+44347</f>
        <v>273843</v>
      </c>
    </row>
    <row r="12" spans="1:80" x14ac:dyDescent="0.2">
      <c r="A12" t="s">
        <v>40</v>
      </c>
      <c r="D12" s="1">
        <v>0</v>
      </c>
      <c r="E12" s="1"/>
      <c r="F12" s="1">
        <v>0</v>
      </c>
      <c r="G12" s="1"/>
      <c r="H12" s="1"/>
      <c r="I12" s="1"/>
      <c r="J12" s="1"/>
      <c r="K12" s="1">
        <v>574198</v>
      </c>
      <c r="L12" s="1"/>
      <c r="M12" s="1"/>
      <c r="N12" s="1"/>
      <c r="O12" s="1"/>
      <c r="P12" s="1">
        <v>0</v>
      </c>
      <c r="Q12" s="1"/>
      <c r="R12" s="1"/>
      <c r="S12" s="1"/>
      <c r="T12" s="1"/>
      <c r="U12" s="1">
        <v>1856276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>
        <v>0</v>
      </c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>
        <v>1866917</v>
      </c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9">
        <f t="shared" ref="BR12:BR23" si="3">SUM(D12:BQ12)</f>
        <v>4297391</v>
      </c>
      <c r="BS12" s="1"/>
      <c r="BT12" s="1">
        <v>0</v>
      </c>
      <c r="BU12" s="1"/>
      <c r="BV12" s="1"/>
      <c r="BW12" s="1"/>
      <c r="BX12" s="1"/>
      <c r="BY12" s="1"/>
      <c r="BZ12" s="1"/>
      <c r="CA12" s="1">
        <v>150000</v>
      </c>
      <c r="CB12" s="1"/>
    </row>
    <row r="13" spans="1:80" x14ac:dyDescent="0.2">
      <c r="A13" t="s">
        <v>10</v>
      </c>
      <c r="D13" s="1">
        <f>41724-4366</f>
        <v>37358</v>
      </c>
      <c r="E13" s="1">
        <v>160033</v>
      </c>
      <c r="F13" s="1">
        <f>68960-35745</f>
        <v>33215</v>
      </c>
      <c r="G13" s="1">
        <f>53775-6419</f>
        <v>47356</v>
      </c>
      <c r="H13" s="1">
        <f>-231408+339965+1674</f>
        <v>110231</v>
      </c>
      <c r="I13" s="1">
        <v>1840</v>
      </c>
      <c r="J13" s="1">
        <f>-17139+43163</f>
        <v>26024</v>
      </c>
      <c r="K13" s="1">
        <f>-792278+863392</f>
        <v>71114</v>
      </c>
      <c r="L13" s="1">
        <f>-217641+274153</f>
        <v>56512</v>
      </c>
      <c r="M13" s="1">
        <f>-354693+478182</f>
        <v>123489</v>
      </c>
      <c r="N13" s="1">
        <f>-120923+159718+40282</f>
        <v>79077</v>
      </c>
      <c r="O13" s="1">
        <f>268675-254331</f>
        <v>14344</v>
      </c>
      <c r="P13" s="1">
        <f>-412658+485092</f>
        <v>72434</v>
      </c>
      <c r="Q13" s="1">
        <f>1766274-1323171-317386</f>
        <v>125717</v>
      </c>
      <c r="R13" s="1">
        <f>-268235+387857</f>
        <v>119622</v>
      </c>
      <c r="S13" s="1">
        <f>-5060796+5143495</f>
        <v>82699</v>
      </c>
      <c r="T13" s="1">
        <f>-2033786+2070618+15</f>
        <v>36847</v>
      </c>
      <c r="U13" s="1">
        <f>1976360-43761-1856276</f>
        <v>76323</v>
      </c>
      <c r="V13" s="1">
        <f>-866238+1007018</f>
        <v>140780</v>
      </c>
      <c r="W13" s="1">
        <f>-39403+147648</f>
        <v>108245</v>
      </c>
      <c r="X13" s="1">
        <f>-99252+177248</f>
        <v>77996</v>
      </c>
      <c r="Y13" s="1">
        <v>27193</v>
      </c>
      <c r="Z13" s="1">
        <v>0</v>
      </c>
      <c r="AA13" s="1">
        <v>54975</v>
      </c>
      <c r="AB13" s="1">
        <f>-13461+105666</f>
        <v>92205</v>
      </c>
      <c r="AC13" s="1">
        <f>-25102+151953</f>
        <v>126851</v>
      </c>
      <c r="AD13" s="1">
        <f>-20055+77274</f>
        <v>57219</v>
      </c>
      <c r="AE13" s="1">
        <f>-21165+97337+3804+2908</f>
        <v>82884</v>
      </c>
      <c r="AF13" s="1">
        <v>15114</v>
      </c>
      <c r="AG13" s="1">
        <f>-5494+83868</f>
        <v>78374</v>
      </c>
      <c r="AH13" s="1">
        <v>60000</v>
      </c>
      <c r="AI13" s="1">
        <f>-442412+484153</f>
        <v>41741</v>
      </c>
      <c r="AJ13" s="1">
        <v>40251</v>
      </c>
      <c r="AK13" s="1">
        <f>-49061+77067</f>
        <v>28006</v>
      </c>
      <c r="AL13" s="1">
        <v>0</v>
      </c>
      <c r="AM13" s="1">
        <f>-812271+886658</f>
        <v>74387</v>
      </c>
      <c r="AN13" s="1">
        <f>1204821-59943-976268</f>
        <v>168610</v>
      </c>
      <c r="AO13" s="1">
        <f>-603868+690485+20533</f>
        <v>107150</v>
      </c>
      <c r="AP13" s="1"/>
      <c r="AQ13" s="1">
        <f>-117314+156456</f>
        <v>39142</v>
      </c>
      <c r="AR13" s="1">
        <f>-589550+686952</f>
        <v>97402</v>
      </c>
      <c r="AS13" s="1">
        <f>-426483+203902+340755</f>
        <v>118174</v>
      </c>
      <c r="AT13" s="1">
        <f>-2278386+147779+2208881+29795</f>
        <v>108069</v>
      </c>
      <c r="AU13" s="1">
        <v>0</v>
      </c>
      <c r="AV13" s="1">
        <f>-131965+188581</f>
        <v>56616</v>
      </c>
      <c r="AW13" s="1">
        <f>283451+87906-39402-283451</f>
        <v>48504</v>
      </c>
      <c r="AX13" s="1">
        <f>767408-662329</f>
        <v>105079</v>
      </c>
      <c r="AY13" s="1">
        <v>95247</v>
      </c>
      <c r="AZ13" s="1">
        <f>102272+6822</f>
        <v>109094</v>
      </c>
      <c r="BA13" s="23">
        <v>28269</v>
      </c>
      <c r="BB13" s="23">
        <v>9820</v>
      </c>
      <c r="BC13" s="1">
        <f>2965829-1002301-1866917</f>
        <v>96611</v>
      </c>
      <c r="BD13" s="1">
        <v>116990</v>
      </c>
      <c r="BE13" s="1">
        <f>82678-2230</f>
        <v>80448</v>
      </c>
      <c r="BF13" s="1">
        <v>6398</v>
      </c>
      <c r="BG13" s="1">
        <v>5861</v>
      </c>
      <c r="BH13" s="1">
        <f>135511-1047</f>
        <v>134464</v>
      </c>
      <c r="BI13" s="1">
        <v>77480</v>
      </c>
      <c r="BJ13" s="1">
        <f>-15960+91951</f>
        <v>75991</v>
      </c>
      <c r="BK13" s="1">
        <f>77075+36508</f>
        <v>113583</v>
      </c>
      <c r="BL13" s="1"/>
      <c r="BM13" s="1">
        <v>32937</v>
      </c>
      <c r="BN13" s="1">
        <v>108895</v>
      </c>
      <c r="BO13" s="1">
        <v>0</v>
      </c>
      <c r="BP13" s="1">
        <f>186473+33659-125620</f>
        <v>94512</v>
      </c>
      <c r="BQ13" s="1">
        <v>0</v>
      </c>
      <c r="BR13" s="9">
        <f t="shared" si="3"/>
        <v>4415802</v>
      </c>
      <c r="BS13" s="1"/>
      <c r="BT13" s="1">
        <v>10000</v>
      </c>
      <c r="BU13" s="1">
        <f>30542-8190</f>
        <v>22352</v>
      </c>
      <c r="BV13" s="1">
        <f>41041-9838-54</f>
        <v>31149</v>
      </c>
      <c r="BW13" s="1">
        <f>162193-144493-3391</f>
        <v>14309</v>
      </c>
      <c r="BX13" s="1">
        <f>1528527/2</f>
        <v>764263.5</v>
      </c>
      <c r="BY13" s="1">
        <f>294807-538-250081</f>
        <v>44188</v>
      </c>
      <c r="BZ13" s="1">
        <f>166453-149837-3570</f>
        <v>13046</v>
      </c>
      <c r="CA13" s="1">
        <f>221168-198403-1249</f>
        <v>21516</v>
      </c>
      <c r="CB13" s="1">
        <f>326868-273843-14665-9340</f>
        <v>29020</v>
      </c>
    </row>
    <row r="14" spans="1:80" x14ac:dyDescent="0.2">
      <c r="A14" t="s">
        <v>11</v>
      </c>
      <c r="D14" s="2"/>
      <c r="E14" s="2">
        <v>0</v>
      </c>
      <c r="F14" s="2">
        <v>0</v>
      </c>
      <c r="G14" s="2">
        <v>0</v>
      </c>
      <c r="H14" s="2"/>
      <c r="I14" s="2"/>
      <c r="J14" s="2"/>
      <c r="K14" s="2">
        <v>0</v>
      </c>
      <c r="L14" s="2">
        <v>0</v>
      </c>
      <c r="M14" s="2">
        <v>0</v>
      </c>
      <c r="N14" s="2"/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/>
      <c r="X14" s="2"/>
      <c r="Y14" s="2"/>
      <c r="Z14" s="2"/>
      <c r="AA14" s="2"/>
      <c r="AB14" s="2"/>
      <c r="AC14" s="2"/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/>
      <c r="AP14" s="2"/>
      <c r="AQ14" s="2">
        <v>0</v>
      </c>
      <c r="AR14" s="2">
        <v>0</v>
      </c>
      <c r="AS14" s="2">
        <v>0</v>
      </c>
      <c r="AT14" s="2"/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/>
      <c r="BF14" s="2"/>
      <c r="BG14" s="2">
        <v>0</v>
      </c>
      <c r="BH14" s="2"/>
      <c r="BI14" s="2">
        <v>0</v>
      </c>
      <c r="BJ14" s="2"/>
      <c r="BK14" s="2">
        <v>0</v>
      </c>
      <c r="BL14" s="2"/>
      <c r="BM14" s="2"/>
      <c r="BN14" s="2">
        <v>0</v>
      </c>
      <c r="BO14" s="2">
        <v>0</v>
      </c>
      <c r="BP14" s="2">
        <v>0</v>
      </c>
      <c r="BQ14" s="2">
        <v>0</v>
      </c>
      <c r="BR14" s="10">
        <f t="shared" si="3"/>
        <v>0</v>
      </c>
      <c r="BS14" s="2"/>
      <c r="BT14" s="2">
        <f>53.42+845+1000</f>
        <v>1898.42</v>
      </c>
      <c r="BU14" s="2">
        <f>5110+25+350+1562+1143</f>
        <v>8190</v>
      </c>
      <c r="BV14" s="2">
        <v>54</v>
      </c>
      <c r="BW14" s="2">
        <f>1090+275+12+1759+255</f>
        <v>3391</v>
      </c>
      <c r="BX14" s="2">
        <v>14594</v>
      </c>
      <c r="BY14" s="2">
        <f>441+97</f>
        <v>538</v>
      </c>
      <c r="BZ14" s="2">
        <f>175+50+25+322+2998</f>
        <v>3570</v>
      </c>
      <c r="CA14" s="2">
        <f>43+210+371+300+250+75</f>
        <v>1249</v>
      </c>
      <c r="CB14" s="2">
        <f>2087+1009+3525+1346+1300+423+605+88+120+24+210+478+1877+355+1218</f>
        <v>14665</v>
      </c>
    </row>
    <row r="15" spans="1:80" x14ac:dyDescent="0.2">
      <c r="A15" t="s">
        <v>12</v>
      </c>
      <c r="D15" s="1">
        <f>SUM(D11:D14)</f>
        <v>41724</v>
      </c>
      <c r="E15" s="1">
        <f>SUM(E11:E14)</f>
        <v>160033</v>
      </c>
      <c r="F15" s="1">
        <f t="shared" ref="F15:K15" si="4">SUM(F11:F14)</f>
        <v>68960</v>
      </c>
      <c r="G15" s="1">
        <f t="shared" si="4"/>
        <v>53775</v>
      </c>
      <c r="H15" s="1">
        <f t="shared" si="4"/>
        <v>348497</v>
      </c>
      <c r="I15" s="1">
        <f t="shared" si="4"/>
        <v>1840</v>
      </c>
      <c r="J15" s="1">
        <f t="shared" si="4"/>
        <v>43163</v>
      </c>
      <c r="K15" s="1">
        <f t="shared" si="4"/>
        <v>863392</v>
      </c>
      <c r="L15" s="1">
        <f>SUM(L10:L14)</f>
        <v>274153</v>
      </c>
      <c r="M15" s="1">
        <f t="shared" ref="M15:R15" si="5">SUM(M11:M14)</f>
        <v>337243</v>
      </c>
      <c r="N15" s="1">
        <f t="shared" si="5"/>
        <v>200000</v>
      </c>
      <c r="O15" s="1">
        <f t="shared" si="5"/>
        <v>268675</v>
      </c>
      <c r="P15" s="1">
        <f t="shared" si="5"/>
        <v>485092</v>
      </c>
      <c r="Q15" s="1">
        <f t="shared" si="5"/>
        <v>1766274</v>
      </c>
      <c r="R15" s="1">
        <f t="shared" si="5"/>
        <v>387857</v>
      </c>
      <c r="S15" s="1">
        <f t="shared" ref="S15:X15" si="6">SUM(S11:S14)</f>
        <v>5143495</v>
      </c>
      <c r="T15" s="1">
        <f t="shared" si="6"/>
        <v>2070633</v>
      </c>
      <c r="U15" s="1">
        <f t="shared" si="6"/>
        <v>1976360</v>
      </c>
      <c r="V15" s="1">
        <f t="shared" si="6"/>
        <v>1007018</v>
      </c>
      <c r="W15" s="1">
        <f t="shared" si="6"/>
        <v>147648</v>
      </c>
      <c r="X15" s="1">
        <f t="shared" si="6"/>
        <v>177248</v>
      </c>
      <c r="Y15" s="1">
        <f>SUM(Y11:Y14)</f>
        <v>27193</v>
      </c>
      <c r="Z15" s="1">
        <f t="shared" ref="Z15:AR15" si="7">SUM(Z11:Z14)</f>
        <v>0</v>
      </c>
      <c r="AA15" s="1">
        <f t="shared" si="7"/>
        <v>54975</v>
      </c>
      <c r="AB15" s="1">
        <f t="shared" si="7"/>
        <v>105666</v>
      </c>
      <c r="AC15" s="1">
        <f t="shared" si="7"/>
        <v>151953</v>
      </c>
      <c r="AD15" s="1">
        <f t="shared" si="7"/>
        <v>77274</v>
      </c>
      <c r="AE15" s="1">
        <f t="shared" si="7"/>
        <v>104049</v>
      </c>
      <c r="AF15" s="1">
        <f t="shared" si="7"/>
        <v>15114</v>
      </c>
      <c r="AG15" s="1">
        <f t="shared" si="7"/>
        <v>83868</v>
      </c>
      <c r="AH15" s="1">
        <f t="shared" si="7"/>
        <v>96000</v>
      </c>
      <c r="AI15" s="1">
        <f t="shared" si="7"/>
        <v>484153</v>
      </c>
      <c r="AJ15" s="1">
        <f t="shared" si="7"/>
        <v>40251</v>
      </c>
      <c r="AK15" s="1">
        <f t="shared" si="7"/>
        <v>77067</v>
      </c>
      <c r="AL15" s="1">
        <f t="shared" si="7"/>
        <v>0</v>
      </c>
      <c r="AM15" s="1">
        <f t="shared" si="7"/>
        <v>886658</v>
      </c>
      <c r="AN15" s="1">
        <f t="shared" si="7"/>
        <v>228553</v>
      </c>
      <c r="AO15" s="1">
        <f t="shared" si="7"/>
        <v>711018</v>
      </c>
      <c r="AP15" s="1">
        <f t="shared" si="7"/>
        <v>0</v>
      </c>
      <c r="AQ15" s="1">
        <f t="shared" si="7"/>
        <v>156456</v>
      </c>
      <c r="AR15" s="1">
        <f t="shared" si="7"/>
        <v>686952</v>
      </c>
      <c r="AS15" s="1">
        <f t="shared" ref="AS15:BM15" si="8">SUM(AS11:AS14)</f>
        <v>544657</v>
      </c>
      <c r="AT15" s="1">
        <f t="shared" si="8"/>
        <v>2386455</v>
      </c>
      <c r="AU15" s="1">
        <f t="shared" si="8"/>
        <v>4281772</v>
      </c>
      <c r="AV15" s="1">
        <f t="shared" si="8"/>
        <v>188581</v>
      </c>
      <c r="AW15" s="1">
        <f t="shared" si="8"/>
        <v>87906</v>
      </c>
      <c r="AX15" s="1">
        <f t="shared" si="8"/>
        <v>767408</v>
      </c>
      <c r="AY15" s="1">
        <f t="shared" si="8"/>
        <v>95247</v>
      </c>
      <c r="AZ15" s="1">
        <f t="shared" si="8"/>
        <v>109094</v>
      </c>
      <c r="BA15" s="1">
        <f t="shared" si="8"/>
        <v>148637</v>
      </c>
      <c r="BB15" s="1">
        <f t="shared" si="8"/>
        <v>9820</v>
      </c>
      <c r="BC15" s="23">
        <f t="shared" si="8"/>
        <v>2965829</v>
      </c>
      <c r="BD15" s="23">
        <f t="shared" si="8"/>
        <v>116990</v>
      </c>
      <c r="BE15" s="23">
        <f t="shared" si="8"/>
        <v>82678</v>
      </c>
      <c r="BF15" s="23">
        <f t="shared" si="8"/>
        <v>6398</v>
      </c>
      <c r="BG15" s="23">
        <f t="shared" si="8"/>
        <v>5861</v>
      </c>
      <c r="BH15" s="23">
        <f t="shared" si="8"/>
        <v>135511</v>
      </c>
      <c r="BI15" s="1">
        <f t="shared" si="8"/>
        <v>77480</v>
      </c>
      <c r="BJ15" s="1">
        <f t="shared" si="8"/>
        <v>91951</v>
      </c>
      <c r="BK15" s="1">
        <f t="shared" si="8"/>
        <v>113583</v>
      </c>
      <c r="BL15" s="1">
        <f t="shared" si="8"/>
        <v>0</v>
      </c>
      <c r="BM15" s="1">
        <f t="shared" si="8"/>
        <v>32937</v>
      </c>
      <c r="BN15" s="1">
        <f t="shared" ref="BN15:BS15" si="9">SUM(BN11:BN14)</f>
        <v>108895</v>
      </c>
      <c r="BO15" s="1">
        <f t="shared" si="9"/>
        <v>0</v>
      </c>
      <c r="BP15" s="1">
        <f t="shared" si="9"/>
        <v>220132</v>
      </c>
      <c r="BQ15" s="1">
        <f t="shared" si="9"/>
        <v>0</v>
      </c>
      <c r="BR15" s="1">
        <f t="shared" si="9"/>
        <v>32388102</v>
      </c>
      <c r="BS15" s="1">
        <f t="shared" si="9"/>
        <v>0</v>
      </c>
      <c r="BT15" s="1">
        <f>SUM(BT11:BT14)</f>
        <v>12355.42</v>
      </c>
      <c r="BU15" s="1">
        <f>SUM(BU11:BU14)</f>
        <v>30542</v>
      </c>
      <c r="BV15" s="1">
        <f t="shared" ref="BV15:CB15" si="10">SUM(BV11:BV14)</f>
        <v>41041</v>
      </c>
      <c r="BW15" s="1">
        <f t="shared" si="10"/>
        <v>162193</v>
      </c>
      <c r="BX15" s="1">
        <f t="shared" si="10"/>
        <v>778857.5</v>
      </c>
      <c r="BY15" s="1">
        <f t="shared" si="10"/>
        <v>294807</v>
      </c>
      <c r="BZ15" s="1">
        <f t="shared" si="10"/>
        <v>166453</v>
      </c>
      <c r="CA15" s="1">
        <f t="shared" si="10"/>
        <v>371168</v>
      </c>
      <c r="CB15" s="1">
        <f t="shared" si="10"/>
        <v>317528</v>
      </c>
    </row>
    <row r="16" spans="1:80" x14ac:dyDescent="0.2">
      <c r="A16" t="s">
        <v>13</v>
      </c>
      <c r="D16" s="1">
        <v>1170</v>
      </c>
      <c r="E16" s="1">
        <v>0</v>
      </c>
      <c r="F16" s="1"/>
      <c r="G16" s="1">
        <f>4547+2361</f>
        <v>6908</v>
      </c>
      <c r="H16" s="1">
        <v>50</v>
      </c>
      <c r="I16" s="1"/>
      <c r="J16" s="1"/>
      <c r="K16" s="1"/>
      <c r="L16" s="1"/>
      <c r="M16" s="1"/>
      <c r="N16" s="1">
        <f>50342-10173</f>
        <v>40169</v>
      </c>
      <c r="O16" s="1"/>
      <c r="P16" s="1"/>
      <c r="Q16" s="1"/>
      <c r="R16" s="1"/>
      <c r="S16" s="1"/>
      <c r="T16" s="1"/>
      <c r="U16" s="1">
        <v>805</v>
      </c>
      <c r="V16" s="1"/>
      <c r="W16" s="1"/>
      <c r="X16" s="1"/>
      <c r="Y16" s="1"/>
      <c r="Z16" s="1">
        <v>0</v>
      </c>
      <c r="AA16" s="1">
        <v>4040</v>
      </c>
      <c r="AB16" s="1"/>
      <c r="AC16" s="1">
        <v>28824</v>
      </c>
      <c r="AD16" s="1">
        <v>9557</v>
      </c>
      <c r="AE16" s="1">
        <v>0</v>
      </c>
      <c r="AF16" s="1"/>
      <c r="AG16" s="1"/>
      <c r="AH16" s="1"/>
      <c r="AI16" s="1">
        <v>1117</v>
      </c>
      <c r="AJ16" s="20"/>
      <c r="AK16" s="23">
        <v>72421</v>
      </c>
      <c r="AL16" s="1"/>
      <c r="AM16" s="1">
        <v>24343</v>
      </c>
      <c r="AN16" s="1">
        <v>0</v>
      </c>
      <c r="AO16" s="1"/>
      <c r="AP16" s="23">
        <v>11359</v>
      </c>
      <c r="AQ16" s="1"/>
      <c r="AR16" s="1">
        <v>7231</v>
      </c>
      <c r="AS16" s="1"/>
      <c r="AT16" s="1"/>
      <c r="AU16" s="20"/>
      <c r="AV16" s="1"/>
      <c r="AW16" s="1"/>
      <c r="AX16" s="1"/>
      <c r="AY16" s="1">
        <v>1800</v>
      </c>
      <c r="AZ16" s="1"/>
      <c r="BA16" s="1"/>
      <c r="BB16" s="1"/>
      <c r="BC16" s="1"/>
      <c r="BD16" s="1">
        <v>19086</v>
      </c>
      <c r="BE16" s="1">
        <v>0</v>
      </c>
      <c r="BF16" s="1"/>
      <c r="BG16" s="1"/>
      <c r="BH16" s="23"/>
      <c r="BI16" s="1">
        <f>13680+35240</f>
        <v>48920</v>
      </c>
      <c r="BJ16" s="1"/>
      <c r="BK16" s="1">
        <f>8378-521+50</f>
        <v>7907</v>
      </c>
      <c r="BL16" s="1"/>
      <c r="BM16" s="1">
        <v>12180</v>
      </c>
      <c r="BN16" s="1">
        <v>0</v>
      </c>
      <c r="BO16" s="1"/>
      <c r="BP16" s="1">
        <v>0</v>
      </c>
      <c r="BQ16" s="1"/>
      <c r="BR16" s="9">
        <f t="shared" si="3"/>
        <v>297887</v>
      </c>
      <c r="BS16" s="1"/>
      <c r="BT16" s="1">
        <v>42705</v>
      </c>
      <c r="BU16" s="1">
        <v>3391</v>
      </c>
      <c r="BV16" s="1"/>
      <c r="BW16" s="1">
        <v>1796</v>
      </c>
      <c r="BX16" s="1">
        <v>2048</v>
      </c>
      <c r="BY16" s="1"/>
      <c r="BZ16" s="1">
        <v>1212</v>
      </c>
      <c r="CA16" s="1"/>
      <c r="CB16" s="1"/>
    </row>
    <row r="17" spans="1:80" x14ac:dyDescent="0.2">
      <c r="A17" t="s">
        <v>13</v>
      </c>
      <c r="D17" s="1"/>
      <c r="E17" s="1"/>
      <c r="F17" s="1"/>
      <c r="G17" s="1"/>
      <c r="H17" s="1">
        <v>0</v>
      </c>
      <c r="I17" s="1">
        <v>10173</v>
      </c>
      <c r="J17" s="1"/>
      <c r="K17" s="1"/>
      <c r="L17" s="1"/>
      <c r="M17" s="1">
        <v>0</v>
      </c>
      <c r="N17" s="1"/>
      <c r="O17" s="1"/>
      <c r="P17" s="1">
        <v>20552</v>
      </c>
      <c r="Q17" s="1"/>
      <c r="R17" s="1">
        <v>1938</v>
      </c>
      <c r="S17" s="1">
        <v>0</v>
      </c>
      <c r="T17" s="1"/>
      <c r="U17" s="1">
        <v>1812</v>
      </c>
      <c r="V17" s="1"/>
      <c r="W17" s="1">
        <v>1376</v>
      </c>
      <c r="X17" s="1">
        <v>0</v>
      </c>
      <c r="Y17" s="1"/>
      <c r="Z17" s="1"/>
      <c r="AA17" s="1">
        <v>0</v>
      </c>
      <c r="AB17" s="1"/>
      <c r="AC17" s="1">
        <v>15769</v>
      </c>
      <c r="AD17" s="1">
        <v>7347</v>
      </c>
      <c r="AE17" s="1"/>
      <c r="AF17" s="1"/>
      <c r="AG17" s="1"/>
      <c r="AH17" s="1"/>
      <c r="AI17" s="1">
        <v>254</v>
      </c>
      <c r="AJ17" s="1"/>
      <c r="AK17" s="1"/>
      <c r="AL17" s="1"/>
      <c r="AM17" s="23">
        <v>48746</v>
      </c>
      <c r="AN17" s="1"/>
      <c r="AO17" s="1">
        <v>324</v>
      </c>
      <c r="AP17" s="23">
        <v>3455</v>
      </c>
      <c r="AQ17" s="1"/>
      <c r="AR17" s="1"/>
      <c r="AS17" s="1"/>
      <c r="AT17" s="1">
        <v>2418</v>
      </c>
      <c r="AU17" s="1"/>
      <c r="AV17" s="1"/>
      <c r="AW17" s="1">
        <v>1358</v>
      </c>
      <c r="AX17" s="1">
        <v>0</v>
      </c>
      <c r="AY17" s="1">
        <v>0</v>
      </c>
      <c r="AZ17" s="1">
        <v>5172</v>
      </c>
      <c r="BA17" s="1"/>
      <c r="BB17" s="1">
        <v>18926</v>
      </c>
      <c r="BC17" s="1">
        <v>2473</v>
      </c>
      <c r="BD17" s="1"/>
      <c r="BE17" s="1">
        <v>3971</v>
      </c>
      <c r="BF17" s="1"/>
      <c r="BG17" s="1"/>
      <c r="BH17" s="1"/>
      <c r="BI17" s="1"/>
      <c r="BJ17" s="1"/>
      <c r="BK17" s="1">
        <v>543</v>
      </c>
      <c r="BL17" s="1"/>
      <c r="BM17" s="1">
        <v>5045</v>
      </c>
      <c r="BN17" s="1">
        <v>0</v>
      </c>
      <c r="BO17" s="1"/>
      <c r="BP17" s="1">
        <v>28875</v>
      </c>
      <c r="BQ17" s="1"/>
      <c r="BR17" s="9">
        <f t="shared" si="3"/>
        <v>180527</v>
      </c>
      <c r="BS17" s="1"/>
      <c r="BT17" s="1">
        <v>0</v>
      </c>
      <c r="BU17" s="1"/>
      <c r="BV17" s="1"/>
      <c r="BW17" s="1"/>
      <c r="BX17" s="1"/>
      <c r="BY17" s="1"/>
      <c r="BZ17" s="1"/>
      <c r="CA17" s="1"/>
      <c r="CB17" s="1">
        <f>226+301+731</f>
        <v>1258</v>
      </c>
    </row>
    <row r="18" spans="1:80" x14ac:dyDescent="0.2">
      <c r="A18" t="s">
        <v>14</v>
      </c>
      <c r="D18" s="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0</v>
      </c>
      <c r="T18" s="1"/>
      <c r="U18" s="1">
        <v>217</v>
      </c>
      <c r="V18" s="1"/>
      <c r="W18" s="1"/>
      <c r="X18" s="1"/>
      <c r="Y18" s="1"/>
      <c r="Z18" s="1"/>
      <c r="AA18" s="1"/>
      <c r="AB18" s="1"/>
      <c r="AC18" s="1"/>
      <c r="AD18" s="1">
        <v>5</v>
      </c>
      <c r="AE18" s="1"/>
      <c r="AF18" s="1"/>
      <c r="AG18" s="1"/>
      <c r="AH18" s="1"/>
      <c r="AI18" s="1">
        <v>89</v>
      </c>
      <c r="AJ18" s="1"/>
      <c r="AK18" s="1"/>
      <c r="AL18" s="1"/>
      <c r="AM18" s="1"/>
      <c r="AN18" s="1"/>
      <c r="AO18" s="1">
        <v>92</v>
      </c>
      <c r="AP18" s="23">
        <v>5300</v>
      </c>
      <c r="AQ18" s="1"/>
      <c r="AR18" s="1"/>
      <c r="AS18" s="1"/>
      <c r="AT18" s="1">
        <v>88</v>
      </c>
      <c r="AU18" s="1"/>
      <c r="AV18" s="1"/>
      <c r="AW18" s="1">
        <v>17093</v>
      </c>
      <c r="AX18" s="1">
        <v>168</v>
      </c>
      <c r="AY18" s="1">
        <v>0</v>
      </c>
      <c r="AZ18" s="1">
        <v>140</v>
      </c>
      <c r="BA18" s="1"/>
      <c r="BB18" s="1"/>
      <c r="BC18" s="1"/>
      <c r="BD18" s="1"/>
      <c r="BE18" s="1">
        <v>150</v>
      </c>
      <c r="BF18" s="1"/>
      <c r="BG18" s="1"/>
      <c r="BH18" s="1"/>
      <c r="BI18" s="1"/>
      <c r="BK18" s="1">
        <v>111</v>
      </c>
      <c r="BL18" s="1"/>
      <c r="BM18" s="1">
        <v>913</v>
      </c>
      <c r="BN18" s="1"/>
      <c r="BO18" s="1"/>
      <c r="BP18" s="1">
        <v>3780</v>
      </c>
      <c r="BQ18" s="1"/>
      <c r="BR18" s="9">
        <f t="shared" si="3"/>
        <v>28146</v>
      </c>
      <c r="BS18" s="1"/>
      <c r="BT18" s="1">
        <v>0</v>
      </c>
      <c r="BU18" s="1"/>
      <c r="BV18" s="1"/>
      <c r="BW18" s="1"/>
      <c r="BX18" s="1"/>
      <c r="BY18" s="1"/>
      <c r="BZ18" s="1"/>
      <c r="CA18" s="1"/>
      <c r="CB18" s="1"/>
    </row>
    <row r="19" spans="1:80" x14ac:dyDescent="0.2">
      <c r="A19" t="s">
        <v>15</v>
      </c>
      <c r="D19" s="1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>
        <v>0</v>
      </c>
      <c r="T19" s="1"/>
      <c r="U19" s="1">
        <v>210</v>
      </c>
      <c r="V19" s="1"/>
      <c r="W19" s="1"/>
      <c r="X19" s="1"/>
      <c r="Y19" s="1"/>
      <c r="Z19" s="1"/>
      <c r="AA19" s="1"/>
      <c r="AB19" s="1"/>
      <c r="AC19" s="1"/>
      <c r="AD19" s="1">
        <v>22</v>
      </c>
      <c r="AE19" s="1"/>
      <c r="AF19" s="1"/>
      <c r="AG19" s="1"/>
      <c r="AH19" s="1"/>
      <c r="AI19" s="1">
        <v>0</v>
      </c>
      <c r="AJ19" s="1"/>
      <c r="AK19" s="1"/>
      <c r="AL19" s="1"/>
      <c r="AM19" s="1"/>
      <c r="AN19" s="1"/>
      <c r="AO19" s="1">
        <v>310</v>
      </c>
      <c r="AP19" s="1"/>
      <c r="AQ19" s="1"/>
      <c r="AR19" s="1"/>
      <c r="AS19" s="1"/>
      <c r="AT19" s="1">
        <v>357</v>
      </c>
      <c r="AU19" s="1"/>
      <c r="AV19" s="1"/>
      <c r="AW19" s="1"/>
      <c r="AX19" s="1">
        <v>189</v>
      </c>
      <c r="AY19" s="1">
        <v>0</v>
      </c>
      <c r="AZ19" s="1">
        <v>349</v>
      </c>
      <c r="BA19" s="1"/>
      <c r="BB19" s="1"/>
      <c r="BC19" s="1"/>
      <c r="BD19" s="1"/>
      <c r="BE19" s="1">
        <v>366</v>
      </c>
      <c r="BF19" s="1"/>
      <c r="BG19" s="1"/>
      <c r="BH19" s="1"/>
      <c r="BI19" s="1"/>
      <c r="BJ19" s="1"/>
      <c r="BK19" s="1">
        <v>372</v>
      </c>
      <c r="BL19" s="1"/>
      <c r="BM19" s="1">
        <v>392</v>
      </c>
      <c r="BN19" s="1"/>
      <c r="BO19" s="1"/>
      <c r="BP19" s="1">
        <v>2225</v>
      </c>
      <c r="BQ19" s="1"/>
      <c r="BR19" s="9">
        <f t="shared" si="3"/>
        <v>4792</v>
      </c>
      <c r="BS19" s="1"/>
      <c r="BT19" s="1">
        <v>0</v>
      </c>
      <c r="BU19" s="1"/>
      <c r="BV19" s="1"/>
      <c r="BW19" s="1"/>
      <c r="BX19" s="1"/>
      <c r="BY19" s="1"/>
      <c r="BZ19" s="1"/>
      <c r="CA19" s="1"/>
      <c r="CB19" s="1">
        <v>340</v>
      </c>
    </row>
    <row r="20" spans="1:80" x14ac:dyDescent="0.2">
      <c r="A20" t="s">
        <v>16</v>
      </c>
      <c r="D20" s="1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>
        <v>0</v>
      </c>
      <c r="T20" s="1"/>
      <c r="U20" s="1">
        <v>2288</v>
      </c>
      <c r="V20" s="1"/>
      <c r="W20" s="1"/>
      <c r="X20" s="1"/>
      <c r="Y20" s="1"/>
      <c r="Z20" s="1"/>
      <c r="AA20" s="1"/>
      <c r="AB20" s="1"/>
      <c r="AC20" s="1"/>
      <c r="AD20" s="1">
        <v>730</v>
      </c>
      <c r="AE20" s="1"/>
      <c r="AF20" s="1"/>
      <c r="AG20" s="1"/>
      <c r="AH20" s="1"/>
      <c r="AI20" s="1">
        <v>2181</v>
      </c>
      <c r="AJ20" s="1"/>
      <c r="AK20" s="1"/>
      <c r="AL20" s="1"/>
      <c r="AM20" s="1"/>
      <c r="AN20" s="1"/>
      <c r="AO20" s="1">
        <v>0</v>
      </c>
      <c r="AP20" s="1"/>
      <c r="AQ20" s="1"/>
      <c r="AR20" s="1"/>
      <c r="AS20" s="1"/>
      <c r="AT20" s="1">
        <v>2408</v>
      </c>
      <c r="AU20" s="1"/>
      <c r="AV20" s="1"/>
      <c r="AW20" s="1"/>
      <c r="AX20" s="1">
        <v>1285</v>
      </c>
      <c r="AY20" s="1">
        <v>0</v>
      </c>
      <c r="AZ20" s="1">
        <v>2230</v>
      </c>
      <c r="BA20" s="1"/>
      <c r="BB20" s="1"/>
      <c r="BC20" s="1"/>
      <c r="BD20" s="1"/>
      <c r="BE20" s="1">
        <v>2441</v>
      </c>
      <c r="BF20" s="1"/>
      <c r="BG20" s="1"/>
      <c r="BH20" s="1"/>
      <c r="BI20" s="1"/>
      <c r="BJ20" s="1"/>
      <c r="BK20" s="1">
        <v>2347</v>
      </c>
      <c r="BL20" s="1"/>
      <c r="BM20" s="1">
        <v>3320</v>
      </c>
      <c r="BN20" s="1"/>
      <c r="BO20" s="1"/>
      <c r="BP20" s="1"/>
      <c r="BQ20" s="1"/>
      <c r="BR20" s="9">
        <f t="shared" si="3"/>
        <v>19230</v>
      </c>
      <c r="BS20" s="1"/>
      <c r="BT20" s="1">
        <v>0</v>
      </c>
      <c r="BU20" s="1"/>
      <c r="BV20" s="1"/>
      <c r="BW20" s="1">
        <v>599</v>
      </c>
      <c r="BX20" s="1"/>
      <c r="BY20" s="1"/>
      <c r="BZ20" s="1"/>
      <c r="CA20" s="1"/>
      <c r="CB20" s="1">
        <f>441+2173</f>
        <v>2614</v>
      </c>
    </row>
    <row r="21" spans="1:80" x14ac:dyDescent="0.2">
      <c r="A21" t="s">
        <v>30</v>
      </c>
      <c r="D21" s="1">
        <v>0</v>
      </c>
      <c r="E21" s="1">
        <v>13842</v>
      </c>
      <c r="F21" s="1">
        <v>0</v>
      </c>
      <c r="G21" s="1">
        <v>0</v>
      </c>
      <c r="H21" s="1"/>
      <c r="I21" s="1"/>
      <c r="J21" s="1"/>
      <c r="K21" s="1">
        <f>4236+5996</f>
        <v>10232</v>
      </c>
      <c r="L21" s="1">
        <v>500</v>
      </c>
      <c r="M21" s="1">
        <v>70512</v>
      </c>
      <c r="N21" s="1"/>
      <c r="O21" s="1">
        <v>0</v>
      </c>
      <c r="P21" s="1">
        <v>56000</v>
      </c>
      <c r="Q21" s="1"/>
      <c r="R21" s="1">
        <v>0</v>
      </c>
      <c r="S21" s="1"/>
      <c r="T21" s="1"/>
      <c r="U21" s="1"/>
      <c r="V21" s="1">
        <v>57909</v>
      </c>
      <c r="W21" s="1"/>
      <c r="X21" s="1"/>
      <c r="Y21" s="1"/>
      <c r="Z21" s="1">
        <v>0</v>
      </c>
      <c r="AA21" s="1">
        <v>0</v>
      </c>
      <c r="AB21" s="1">
        <v>2599</v>
      </c>
      <c r="AC21" s="1">
        <v>71534</v>
      </c>
      <c r="AD21" s="1">
        <v>145179</v>
      </c>
      <c r="AE21" s="1"/>
      <c r="AF21" s="1"/>
      <c r="AG21" s="1"/>
      <c r="AH21" s="1">
        <v>56073</v>
      </c>
      <c r="AI21" s="1"/>
      <c r="AJ21" s="1"/>
      <c r="AK21" s="1"/>
      <c r="AL21" s="1">
        <v>0</v>
      </c>
      <c r="AM21" s="1">
        <f>43290+44892</f>
        <v>88182</v>
      </c>
      <c r="AN21" s="1"/>
      <c r="AO21" s="1">
        <v>0</v>
      </c>
      <c r="AP21" s="1"/>
      <c r="AQ21" s="1">
        <v>0</v>
      </c>
      <c r="AR21" s="1">
        <v>49401</v>
      </c>
      <c r="AS21" s="1"/>
      <c r="AT21" s="1">
        <v>70991</v>
      </c>
      <c r="AU21" s="1"/>
      <c r="AV21" s="1"/>
      <c r="AW21" s="1">
        <v>49503</v>
      </c>
      <c r="AX21" s="1"/>
      <c r="AY21" s="1"/>
      <c r="AZ21" s="1"/>
      <c r="BA21" s="1"/>
      <c r="BB21" s="1">
        <f>67420+58433</f>
        <v>125853</v>
      </c>
      <c r="BC21" s="1"/>
      <c r="BD21" s="1"/>
      <c r="BE21" s="1">
        <v>0</v>
      </c>
      <c r="BF21" s="1"/>
      <c r="BG21" s="1"/>
      <c r="BH21" s="1"/>
      <c r="BI21" s="1">
        <v>48755</v>
      </c>
      <c r="BJ21" s="1">
        <v>50945</v>
      </c>
      <c r="BK21" s="1">
        <v>7191</v>
      </c>
      <c r="BL21" s="1">
        <v>0</v>
      </c>
      <c r="BM21" s="1"/>
      <c r="BN21" s="1">
        <v>62401</v>
      </c>
      <c r="BO21" s="1">
        <v>28541</v>
      </c>
      <c r="BP21" s="1"/>
      <c r="BQ21" s="1">
        <v>0</v>
      </c>
      <c r="BR21" s="9">
        <f t="shared" si="3"/>
        <v>1066143</v>
      </c>
      <c r="BS21" s="1"/>
      <c r="BT21" s="1">
        <v>0</v>
      </c>
      <c r="BU21" s="1"/>
      <c r="BV21" s="1">
        <v>10000</v>
      </c>
      <c r="BW21" s="1"/>
      <c r="BX21" s="1"/>
      <c r="BY21" s="1"/>
      <c r="BZ21" s="1"/>
      <c r="CA21" s="1"/>
      <c r="CB21" s="1"/>
    </row>
    <row r="22" spans="1:80" x14ac:dyDescent="0.2">
      <c r="A22" t="s">
        <v>28</v>
      </c>
      <c r="D22" s="1"/>
      <c r="E22" s="1">
        <v>0</v>
      </c>
      <c r="F22" s="1"/>
      <c r="G22" s="1"/>
      <c r="H22" s="1">
        <v>-90244</v>
      </c>
      <c r="I22" s="1"/>
      <c r="J22" s="1"/>
      <c r="K22" s="1"/>
      <c r="L22" s="1"/>
      <c r="M22" s="1">
        <v>0</v>
      </c>
      <c r="N22" s="1">
        <v>-83638</v>
      </c>
      <c r="O22" s="1"/>
      <c r="P22" s="1"/>
      <c r="Q22" s="1"/>
      <c r="R22" s="1">
        <v>0</v>
      </c>
      <c r="S22" s="1">
        <v>-2295</v>
      </c>
      <c r="T22" s="1"/>
      <c r="U22" s="1"/>
      <c r="V22" s="1"/>
      <c r="W22" s="1"/>
      <c r="X22" s="1">
        <v>0</v>
      </c>
      <c r="Y22" s="1">
        <v>212691</v>
      </c>
      <c r="Z22" s="1"/>
      <c r="AA22" s="1"/>
      <c r="AB22" s="1"/>
      <c r="AC22" s="1"/>
      <c r="AD22" s="1">
        <v>0</v>
      </c>
      <c r="AE22" s="1">
        <v>17084</v>
      </c>
      <c r="AF22" s="1"/>
      <c r="AG22" s="1"/>
      <c r="AH22" s="20">
        <v>0</v>
      </c>
      <c r="AI22" s="1">
        <v>0</v>
      </c>
      <c r="AJ22" s="1">
        <v>0</v>
      </c>
      <c r="AK22" s="1"/>
      <c r="AL22" s="1"/>
      <c r="AM22" s="1"/>
      <c r="AN22" s="1"/>
      <c r="AO22" s="1">
        <v>0</v>
      </c>
      <c r="AP22" s="1"/>
      <c r="AQ22" s="1"/>
      <c r="AR22" s="1"/>
      <c r="AS22" s="1">
        <v>0</v>
      </c>
      <c r="AT22" s="1">
        <v>0</v>
      </c>
      <c r="AU22" s="1"/>
      <c r="AV22" s="1"/>
      <c r="AW22" s="1"/>
      <c r="AX22" s="1"/>
      <c r="AY22" s="1">
        <v>0</v>
      </c>
      <c r="AZ22" s="1">
        <v>0</v>
      </c>
      <c r="BA22" s="1"/>
      <c r="BB22" s="1"/>
      <c r="BC22" s="1"/>
      <c r="BD22" s="1"/>
      <c r="BE22" s="1">
        <v>0</v>
      </c>
      <c r="BF22" s="1"/>
      <c r="BG22" s="1"/>
      <c r="BH22" s="1"/>
      <c r="BI22" s="1"/>
      <c r="BJ22" s="1"/>
      <c r="BK22" s="1">
        <v>0</v>
      </c>
      <c r="BL22" s="1">
        <v>0</v>
      </c>
      <c r="BM22" s="1"/>
      <c r="BN22" s="1"/>
      <c r="BO22" s="1"/>
      <c r="BP22" s="1"/>
      <c r="BQ22" s="1"/>
      <c r="BR22" s="9">
        <f t="shared" si="3"/>
        <v>53598</v>
      </c>
      <c r="BS22" s="1"/>
      <c r="BT22" s="1">
        <v>0</v>
      </c>
      <c r="BU22" s="1"/>
      <c r="BV22" s="1"/>
      <c r="BW22" s="1">
        <f>1697233-1697083</f>
        <v>150</v>
      </c>
      <c r="BX22" s="1"/>
      <c r="BY22" s="1"/>
      <c r="BZ22" s="1"/>
      <c r="CA22" s="1"/>
      <c r="CB22" s="1">
        <v>118693</v>
      </c>
    </row>
    <row r="23" spans="1:80" x14ac:dyDescent="0.2">
      <c r="A23" s="11" t="s">
        <v>17</v>
      </c>
      <c r="B23" s="11"/>
      <c r="C23" s="11"/>
      <c r="D23" s="2">
        <v>0</v>
      </c>
      <c r="E23" s="2"/>
      <c r="F23" s="2">
        <v>0</v>
      </c>
      <c r="G23" s="2"/>
      <c r="H23" s="2"/>
      <c r="I23" s="2"/>
      <c r="J23" s="2"/>
      <c r="K23" s="2"/>
      <c r="L23" s="2"/>
      <c r="M23" s="2"/>
      <c r="N23" s="2"/>
      <c r="O23" s="2">
        <v>-316316</v>
      </c>
      <c r="P23" s="2">
        <v>-224030</v>
      </c>
      <c r="Q23" s="2">
        <v>-586092</v>
      </c>
      <c r="R23" s="2">
        <v>0</v>
      </c>
      <c r="S23" s="2"/>
      <c r="T23" s="2">
        <v>-1562567</v>
      </c>
      <c r="U23" s="2"/>
      <c r="V23" s="2">
        <v>0</v>
      </c>
      <c r="W23" s="2">
        <v>-286975</v>
      </c>
      <c r="X23" s="2"/>
      <c r="Y23" s="2"/>
      <c r="Z23" s="2"/>
      <c r="AA23" s="2"/>
      <c r="AB23" s="2">
        <v>0</v>
      </c>
      <c r="AC23" s="2"/>
      <c r="AD23" s="2">
        <v>-48638</v>
      </c>
      <c r="AE23" s="2"/>
      <c r="AF23" s="2">
        <v>0</v>
      </c>
      <c r="AG23" s="2"/>
      <c r="AH23" s="2"/>
      <c r="AI23" s="2">
        <v>0</v>
      </c>
      <c r="AJ23" s="2"/>
      <c r="AK23" s="2">
        <v>0</v>
      </c>
      <c r="AL23" s="2">
        <v>-177062</v>
      </c>
      <c r="AM23" s="2">
        <v>0</v>
      </c>
      <c r="AN23" s="2">
        <v>-793038</v>
      </c>
      <c r="AO23" s="2"/>
      <c r="AP23" s="2">
        <v>-218598</v>
      </c>
      <c r="AQ23" s="2"/>
      <c r="AR23" s="2">
        <v>-204730</v>
      </c>
      <c r="AS23" s="2"/>
      <c r="AT23" s="2"/>
      <c r="AU23" s="2">
        <v>-1413015</v>
      </c>
      <c r="AV23" s="2"/>
      <c r="AW23" s="2">
        <v>0</v>
      </c>
      <c r="AX23" s="2">
        <v>-231541</v>
      </c>
      <c r="AY23" s="2"/>
      <c r="AZ23" s="2"/>
      <c r="BA23" s="2">
        <v>0</v>
      </c>
      <c r="BB23" s="2"/>
      <c r="BC23" s="2">
        <v>-314454</v>
      </c>
      <c r="BD23" s="2">
        <v>0</v>
      </c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>
        <v>0</v>
      </c>
      <c r="BP23" s="2">
        <f>-39803-14</f>
        <v>-39817</v>
      </c>
      <c r="BQ23" s="2">
        <v>0</v>
      </c>
      <c r="BR23" s="10">
        <f t="shared" si="3"/>
        <v>-6416873</v>
      </c>
      <c r="BS23" s="2"/>
      <c r="BT23" s="2">
        <v>0</v>
      </c>
      <c r="BU23" s="2"/>
      <c r="BV23" s="2"/>
      <c r="BW23" s="2"/>
      <c r="BX23" s="2"/>
      <c r="BY23" s="2"/>
      <c r="BZ23" s="2"/>
      <c r="CA23" s="2"/>
      <c r="CB23" s="2"/>
    </row>
    <row r="24" spans="1:80" x14ac:dyDescent="0.2">
      <c r="D24" s="1">
        <f t="shared" ref="D24:AI24" si="11">+D6+D9+D10+D15+D16+D17+D18+D19+D20+D21+D22+D23</f>
        <v>4340401</v>
      </c>
      <c r="E24" s="1">
        <f t="shared" si="11"/>
        <v>230551</v>
      </c>
      <c r="F24" s="1">
        <f t="shared" si="11"/>
        <v>4857944</v>
      </c>
      <c r="G24" s="1">
        <f t="shared" si="11"/>
        <v>3782439</v>
      </c>
      <c r="H24" s="1">
        <f t="shared" si="11"/>
        <v>181793.81000000006</v>
      </c>
      <c r="I24" s="1">
        <f t="shared" si="11"/>
        <v>254350.81000000006</v>
      </c>
      <c r="J24" s="1">
        <f t="shared" si="11"/>
        <v>202102.31000000006</v>
      </c>
      <c r="K24" s="1">
        <f t="shared" si="11"/>
        <v>932862.31</v>
      </c>
      <c r="L24" s="1">
        <f t="shared" si="11"/>
        <v>2394229.31</v>
      </c>
      <c r="M24" s="1">
        <f t="shared" si="11"/>
        <v>340380.31000000006</v>
      </c>
      <c r="N24" s="1">
        <f t="shared" si="11"/>
        <v>619015.31000000006</v>
      </c>
      <c r="O24" s="1">
        <f t="shared" si="11"/>
        <v>1031028.31</v>
      </c>
      <c r="P24" s="1">
        <f t="shared" si="11"/>
        <v>583383.31000000006</v>
      </c>
      <c r="Q24" s="1">
        <f t="shared" si="11"/>
        <v>462423.31000000006</v>
      </c>
      <c r="R24" s="1">
        <f t="shared" si="11"/>
        <v>-394894.68999999994</v>
      </c>
      <c r="S24" s="1">
        <f t="shared" si="11"/>
        <v>4600922.3100000005</v>
      </c>
      <c r="T24" s="1">
        <f t="shared" si="11"/>
        <v>5491704.3100000005</v>
      </c>
      <c r="U24" s="1">
        <f t="shared" si="11"/>
        <v>1798451.3100000005</v>
      </c>
      <c r="V24" s="1">
        <f t="shared" si="11"/>
        <v>1216113.8100000005</v>
      </c>
      <c r="W24" s="1">
        <f t="shared" si="11"/>
        <v>2822399.8100000005</v>
      </c>
      <c r="X24" s="1">
        <f t="shared" si="11"/>
        <v>273027.31000000052</v>
      </c>
      <c r="Y24" s="1">
        <f t="shared" si="11"/>
        <v>512911.31000000052</v>
      </c>
      <c r="Z24" s="1">
        <f t="shared" si="11"/>
        <v>512868.31000000052</v>
      </c>
      <c r="AA24" s="1">
        <f t="shared" si="11"/>
        <v>460066.31000000052</v>
      </c>
      <c r="AB24" s="1">
        <f t="shared" si="11"/>
        <v>-136280.18999999948</v>
      </c>
      <c r="AC24" s="1">
        <f t="shared" si="11"/>
        <v>3095437.8100000005</v>
      </c>
      <c r="AD24" s="1">
        <f t="shared" si="11"/>
        <v>562871.81000000052</v>
      </c>
      <c r="AE24" s="1">
        <f t="shared" si="11"/>
        <v>485545.81000000052</v>
      </c>
      <c r="AF24" s="1">
        <f t="shared" si="11"/>
        <v>500063.81000000052</v>
      </c>
      <c r="AG24" s="1">
        <f t="shared" si="11"/>
        <v>46226.310000000522</v>
      </c>
      <c r="AH24" s="1">
        <f t="shared" si="11"/>
        <v>2638731.3100000005</v>
      </c>
      <c r="AI24" s="1">
        <f t="shared" si="11"/>
        <v>543954.31000000052</v>
      </c>
      <c r="AJ24" s="1">
        <f t="shared" ref="AJ24:BP24" si="12">+AJ6+AJ9+AJ10+AJ15+AJ16+AJ17+AJ18+AJ19+AJ20+AJ21+AJ22+AJ23</f>
        <v>329516.31000000052</v>
      </c>
      <c r="AK24" s="1">
        <f t="shared" si="12"/>
        <v>478514.31000000052</v>
      </c>
      <c r="AL24" s="1">
        <f t="shared" si="12"/>
        <v>1144730.8100000005</v>
      </c>
      <c r="AM24" s="1">
        <f t="shared" si="12"/>
        <v>3669317.8100000005</v>
      </c>
      <c r="AN24" s="1">
        <f t="shared" si="12"/>
        <v>3298096.8100000005</v>
      </c>
      <c r="AO24" s="1">
        <f t="shared" si="12"/>
        <v>3232930.1890000007</v>
      </c>
      <c r="AP24" s="1">
        <f t="shared" si="12"/>
        <v>3031906.1890000007</v>
      </c>
      <c r="AQ24" s="1">
        <f t="shared" si="12"/>
        <v>4687230.6890000012</v>
      </c>
      <c r="AR24" s="1">
        <f t="shared" si="12"/>
        <v>5167238.6890000012</v>
      </c>
      <c r="AS24" s="1">
        <f t="shared" si="12"/>
        <v>6702615.1890000012</v>
      </c>
      <c r="AT24" s="1">
        <f t="shared" si="12"/>
        <v>7756852.1890000012</v>
      </c>
      <c r="AU24" s="1">
        <f t="shared" si="12"/>
        <v>9193547.1890000012</v>
      </c>
      <c r="AV24" s="1">
        <f t="shared" si="12"/>
        <v>9325432.8556666672</v>
      </c>
      <c r="AW24" s="1">
        <f t="shared" si="12"/>
        <v>9357205.8556666672</v>
      </c>
      <c r="AX24" s="1">
        <f t="shared" si="12"/>
        <v>10850405.855666667</v>
      </c>
      <c r="AY24" s="1">
        <f t="shared" si="12"/>
        <v>9264044.8556666672</v>
      </c>
      <c r="AZ24" s="1">
        <f t="shared" si="12"/>
        <v>7691958.8556666672</v>
      </c>
      <c r="BA24" s="1">
        <f t="shared" si="12"/>
        <v>7840595.8556666672</v>
      </c>
      <c r="BB24" s="1">
        <f t="shared" si="12"/>
        <v>7849501.8556666672</v>
      </c>
      <c r="BC24" s="1">
        <f t="shared" si="12"/>
        <v>9203892.8556666672</v>
      </c>
      <c r="BD24" s="1">
        <f t="shared" si="12"/>
        <v>11000915.855666667</v>
      </c>
      <c r="BE24" s="1">
        <f t="shared" si="12"/>
        <v>8901740.8556666672</v>
      </c>
      <c r="BF24" s="1">
        <f t="shared" si="12"/>
        <v>8907105.8556666672</v>
      </c>
      <c r="BG24" s="1">
        <f t="shared" si="12"/>
        <v>8912966.8556666672</v>
      </c>
      <c r="BH24" s="1">
        <f>+BH6+BH9+BH10+BH15+BH16+BH17+BH18+BH19+BH20+BH21+BH22+BH23</f>
        <v>8945442.8556666672</v>
      </c>
      <c r="BI24" s="1">
        <f>+BI6+BI9+BI10+BI15+BI16+BI17+BI18+BI19+BI20+BI21+BI22+BI23</f>
        <v>7557495.8556666672</v>
      </c>
      <c r="BJ24" s="1">
        <f t="shared" si="12"/>
        <v>10017672.855666667</v>
      </c>
      <c r="BK24" s="1">
        <f t="shared" si="12"/>
        <v>7479939.2656666674</v>
      </c>
      <c r="BL24" s="1">
        <f t="shared" si="12"/>
        <v>7364615.2656666674</v>
      </c>
      <c r="BM24" s="1">
        <f t="shared" si="12"/>
        <v>5178153.445166667</v>
      </c>
      <c r="BN24" s="1">
        <f t="shared" si="12"/>
        <v>7654046.445166667</v>
      </c>
      <c r="BO24" s="1">
        <f t="shared" si="12"/>
        <v>5827747.445166667</v>
      </c>
      <c r="BP24" s="1">
        <f t="shared" si="12"/>
        <v>5364440.445166667</v>
      </c>
      <c r="BQ24" s="1">
        <f>+BQ6+BQ9+BQ10+BQ15+BQ16+BQ17+BQ18+BQ19+BQ20+BQ21+BQ22+BQ23</f>
        <v>5068170.445166667</v>
      </c>
      <c r="BR24" s="1">
        <f>+BR6+BR9+BR10+BR15+BR16+BR17+BR18+BR19+BR20+BR21+BR22+BR23</f>
        <v>60092877</v>
      </c>
      <c r="BS24" s="1"/>
      <c r="BT24" s="1">
        <f t="shared" ref="BT24:CB24" si="13">+BT6+BT9+BT10+BT15+BT16+BT17+BT18+BT19+BT20+BT21+BT22+BT23</f>
        <v>5117428.8651666669</v>
      </c>
      <c r="BU24" s="1">
        <f t="shared" si="13"/>
        <v>3860726.8651666669</v>
      </c>
      <c r="BV24" s="1">
        <f t="shared" si="13"/>
        <v>6106550.8651666669</v>
      </c>
      <c r="BW24" s="1">
        <f t="shared" si="13"/>
        <v>4687063.8430666663</v>
      </c>
      <c r="BX24" s="1">
        <f t="shared" si="13"/>
        <v>4447868.3430666663</v>
      </c>
      <c r="BY24" s="1">
        <f t="shared" si="13"/>
        <v>3694049.8660666663</v>
      </c>
      <c r="BZ24" s="1">
        <f t="shared" si="13"/>
        <v>3751014.8660666663</v>
      </c>
      <c r="CA24" s="1">
        <f t="shared" si="13"/>
        <v>5643151.8660666663</v>
      </c>
      <c r="CB24" s="1">
        <f t="shared" si="13"/>
        <v>5362703.8660666663</v>
      </c>
    </row>
    <row r="25" spans="1:80" x14ac:dyDescent="0.2">
      <c r="A25" s="5" t="s">
        <v>18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t="s">
        <v>4</v>
      </c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x14ac:dyDescent="0.2">
      <c r="A26" t="s">
        <v>19</v>
      </c>
      <c r="D26" s="1">
        <v>-155859</v>
      </c>
      <c r="E26" s="1">
        <f>-760534+463124</f>
        <v>-297410</v>
      </c>
      <c r="F26" s="1">
        <v>-257864</v>
      </c>
      <c r="G26" s="1">
        <v>-219765</v>
      </c>
      <c r="H26" s="1">
        <v>0</v>
      </c>
      <c r="I26" s="1">
        <v>-117698</v>
      </c>
      <c r="J26" s="1">
        <v>-136856</v>
      </c>
      <c r="K26" s="1">
        <f>-612362+2431+460277</f>
        <v>-149654</v>
      </c>
      <c r="L26" s="1">
        <v>-218401</v>
      </c>
      <c r="M26" s="1">
        <f>-84295-129736-100</f>
        <v>-214131</v>
      </c>
      <c r="N26" s="1"/>
      <c r="O26" s="1">
        <v>-346329</v>
      </c>
      <c r="P26" s="1">
        <f>-631039+2697+460068</f>
        <v>-168274</v>
      </c>
      <c r="Q26" s="1">
        <v>-172109</v>
      </c>
      <c r="R26" s="1">
        <v>-161072</v>
      </c>
      <c r="S26" s="1"/>
      <c r="T26" s="1">
        <v>-113475</v>
      </c>
      <c r="U26" s="1">
        <f>-668744+2813+434248</f>
        <v>-231683</v>
      </c>
      <c r="V26" s="1">
        <v>-233870</v>
      </c>
      <c r="W26" s="1">
        <v>-228587</v>
      </c>
      <c r="X26" s="1"/>
      <c r="Y26" s="1"/>
      <c r="Z26" s="1">
        <v>-104270</v>
      </c>
      <c r="AA26" s="1">
        <v>-187171</v>
      </c>
      <c r="AB26" s="1">
        <f>-76709-79273</f>
        <v>-155982</v>
      </c>
      <c r="AC26" s="1">
        <v>-157145</v>
      </c>
      <c r="AD26" s="1">
        <v>-79234</v>
      </c>
      <c r="AE26" s="1">
        <v>0</v>
      </c>
      <c r="AF26" s="1">
        <f>-113774-22920</f>
        <v>-136694</v>
      </c>
      <c r="AG26" s="1">
        <f>-590720+475786</f>
        <v>-114934</v>
      </c>
      <c r="AH26" s="1">
        <v>-223646</v>
      </c>
      <c r="AI26" s="1">
        <f>-82097-52592</f>
        <v>-134689</v>
      </c>
      <c r="AJ26" s="1"/>
      <c r="AK26" s="1">
        <v>-76749</v>
      </c>
      <c r="AL26" s="1">
        <f>-559025+431415</f>
        <v>-127610</v>
      </c>
      <c r="AM26" s="1">
        <v>-255875</v>
      </c>
      <c r="AN26" s="1">
        <v>-186142</v>
      </c>
      <c r="AO26" s="1">
        <v>0</v>
      </c>
      <c r="AP26" s="1">
        <f>-160220-920</f>
        <v>-161140</v>
      </c>
      <c r="AQ26" s="1">
        <f>438220-497066</f>
        <v>-58846</v>
      </c>
      <c r="AR26" s="1">
        <v>-103874</v>
      </c>
      <c r="AS26" s="1">
        <v>-298164</v>
      </c>
      <c r="AT26" s="1"/>
      <c r="AU26" s="1">
        <v>-101958</v>
      </c>
      <c r="AV26" s="1">
        <v>-117759</v>
      </c>
      <c r="AW26" s="1">
        <v>-148184</v>
      </c>
      <c r="AX26" s="1">
        <v>-383408</v>
      </c>
      <c r="AY26" s="1">
        <v>-183958</v>
      </c>
      <c r="AZ26" s="1"/>
      <c r="BA26" s="1">
        <v>-142483</v>
      </c>
      <c r="BB26" s="1">
        <f>-538465+2702+434460</f>
        <v>-101303</v>
      </c>
      <c r="BC26" s="1">
        <f>-302776-203</f>
        <v>-302979</v>
      </c>
      <c r="BD26" s="1">
        <v>-228957</v>
      </c>
      <c r="BE26" s="1"/>
      <c r="BF26" s="1"/>
      <c r="BG26" s="1">
        <v>-98507</v>
      </c>
      <c r="BH26" s="1">
        <v>-169266</v>
      </c>
      <c r="BI26" s="1">
        <f>-603351+2699+432250</f>
        <v>-168402</v>
      </c>
      <c r="BJ26" s="1">
        <v>-176209</v>
      </c>
      <c r="BK26" s="1">
        <v>-115324</v>
      </c>
      <c r="BL26" s="1">
        <v>-200000</v>
      </c>
      <c r="BM26" s="1">
        <f>440973-673076</f>
        <v>-232103</v>
      </c>
      <c r="BN26" s="1">
        <v>-150080</v>
      </c>
      <c r="BO26" s="1">
        <v>-246511</v>
      </c>
      <c r="BP26" s="1">
        <v>-171119</v>
      </c>
      <c r="BQ26" s="1">
        <v>-5802</v>
      </c>
      <c r="BR26" s="9">
        <f>SUM(D26:BQ26)</f>
        <v>-9429514</v>
      </c>
      <c r="BS26" s="1"/>
      <c r="BT26" s="1">
        <v>-106485</v>
      </c>
      <c r="BU26" s="1">
        <v>-359358</v>
      </c>
      <c r="BV26" s="1">
        <v>-138982</v>
      </c>
      <c r="BW26" s="1">
        <v>-150740</v>
      </c>
      <c r="BX26" s="1">
        <v>-147534</v>
      </c>
      <c r="BY26" s="1">
        <v>-110700</v>
      </c>
      <c r="BZ26" s="1">
        <v>-120081</v>
      </c>
      <c r="CA26" s="1">
        <v>-120881</v>
      </c>
      <c r="CB26" s="1">
        <v>-214647</v>
      </c>
    </row>
    <row r="27" spans="1:80" x14ac:dyDescent="0.2">
      <c r="A27" t="s">
        <v>20</v>
      </c>
      <c r="D27" s="1">
        <v>-965061</v>
      </c>
      <c r="E27" s="1"/>
      <c r="F27" s="1">
        <v>-1242039</v>
      </c>
      <c r="G27" s="1"/>
      <c r="H27" s="1"/>
      <c r="I27" s="1">
        <v>-931427</v>
      </c>
      <c r="J27" s="1"/>
      <c r="K27" s="1">
        <v>-914479</v>
      </c>
      <c r="L27" s="1"/>
      <c r="M27" s="1">
        <v>-1095300</v>
      </c>
      <c r="N27" s="1">
        <v>110000</v>
      </c>
      <c r="O27" s="1">
        <v>-110000</v>
      </c>
      <c r="P27" s="1">
        <v>-1226133</v>
      </c>
      <c r="Q27" s="1"/>
      <c r="R27" s="1">
        <v>-1322204</v>
      </c>
      <c r="S27" s="1">
        <v>382770</v>
      </c>
      <c r="T27" s="1">
        <v>-382770</v>
      </c>
      <c r="U27" s="1">
        <v>-1344693</v>
      </c>
      <c r="V27" s="1"/>
      <c r="W27" s="1">
        <v>-1368246</v>
      </c>
      <c r="X27" s="1"/>
      <c r="Y27" s="1"/>
      <c r="Z27" s="1"/>
      <c r="AA27" s="1">
        <v>-1342570</v>
      </c>
      <c r="AB27" s="1"/>
      <c r="AC27" s="1">
        <v>-1280513</v>
      </c>
      <c r="AD27" s="1"/>
      <c r="AE27" s="1"/>
      <c r="AF27" s="1">
        <v>-1331085</v>
      </c>
      <c r="AG27" s="1"/>
      <c r="AH27" s="1">
        <v>-1330000</v>
      </c>
      <c r="AI27" s="1"/>
      <c r="AJ27" s="1"/>
      <c r="AK27" s="1">
        <v>-1330000</v>
      </c>
      <c r="AL27" s="1"/>
      <c r="AM27" s="1">
        <v>-1330000</v>
      </c>
      <c r="AN27" s="1">
        <v>-714</v>
      </c>
      <c r="AO27" s="1"/>
      <c r="AP27" s="1">
        <v>-1330000</v>
      </c>
      <c r="AQ27" s="1"/>
      <c r="AR27" s="1">
        <v>-1330000</v>
      </c>
      <c r="AS27" s="1">
        <v>0</v>
      </c>
      <c r="AT27" s="1">
        <v>-1330000</v>
      </c>
      <c r="AU27" s="1">
        <v>0</v>
      </c>
      <c r="AV27" s="1"/>
      <c r="AW27" s="1">
        <v>-1322829</v>
      </c>
      <c r="AX27" s="1"/>
      <c r="AY27" s="1">
        <v>-1332476</v>
      </c>
      <c r="AZ27" s="1"/>
      <c r="BB27" s="1">
        <v>-1151873</v>
      </c>
      <c r="BC27" s="1"/>
      <c r="BD27" s="1">
        <v>-1314676</v>
      </c>
      <c r="BE27" s="1"/>
      <c r="BF27" s="1"/>
      <c r="BG27" s="1"/>
      <c r="BH27" s="1">
        <v>-1331261</v>
      </c>
      <c r="BI27" s="1"/>
      <c r="BJ27" s="1">
        <v>-1325405</v>
      </c>
      <c r="BK27" s="1"/>
      <c r="BL27" s="1">
        <v>-1891697</v>
      </c>
      <c r="BM27" s="1"/>
      <c r="BN27" s="1">
        <v>-1115128</v>
      </c>
      <c r="BO27" s="1"/>
      <c r="BP27" s="1"/>
      <c r="BQ27" s="1"/>
      <c r="BR27" s="9">
        <f t="shared" ref="BR27:BR35" si="14">SUM(D27:BQ27)</f>
        <v>-33129809</v>
      </c>
      <c r="BS27" s="1"/>
      <c r="BT27" s="1">
        <v>-1100000</v>
      </c>
      <c r="BU27" s="1"/>
      <c r="BV27" s="1">
        <f>-1261577*1.0285</f>
        <v>-1297531.9445</v>
      </c>
      <c r="BW27" s="1">
        <v>0</v>
      </c>
      <c r="BX27" s="1">
        <f>-876122*1.0285</f>
        <v>-901091.47699999996</v>
      </c>
      <c r="BY27" s="1">
        <v>0</v>
      </c>
      <c r="BZ27" s="1">
        <v>-901091</v>
      </c>
      <c r="CA27" s="1">
        <v>0</v>
      </c>
      <c r="CB27" s="1"/>
    </row>
    <row r="28" spans="1:80" x14ac:dyDescent="0.2">
      <c r="A28" t="s">
        <v>22</v>
      </c>
      <c r="D28" s="1">
        <f>-146996/2</f>
        <v>-73498</v>
      </c>
      <c r="E28" s="1"/>
      <c r="F28" s="1">
        <f>-188628/2</f>
        <v>-94314</v>
      </c>
      <c r="G28" s="1"/>
      <c r="H28" s="1"/>
      <c r="I28" s="1">
        <f>-130901/2</f>
        <v>-65450.5</v>
      </c>
      <c r="J28" s="1"/>
      <c r="K28" s="1">
        <f>-129572/2</f>
        <v>-64786</v>
      </c>
      <c r="L28" s="1"/>
      <c r="M28" s="1">
        <f>-166190/2</f>
        <v>-83095</v>
      </c>
      <c r="N28">
        <v>325654</v>
      </c>
      <c r="O28" s="1">
        <v>-325654</v>
      </c>
      <c r="P28" s="1">
        <f>-209832/2</f>
        <v>-104916</v>
      </c>
      <c r="Q28" s="1"/>
      <c r="R28" s="1">
        <f>-200176/2</f>
        <v>-100088</v>
      </c>
      <c r="S28" s="1"/>
      <c r="T28" s="1"/>
      <c r="U28" s="1">
        <f>-203303/2</f>
        <v>-101651.5</v>
      </c>
      <c r="V28" s="1"/>
      <c r="W28" s="1">
        <f>-206879/2</f>
        <v>-103439.5</v>
      </c>
      <c r="X28" s="1"/>
      <c r="Y28" s="1"/>
      <c r="Z28" s="1">
        <f>+Z27*0.0765</f>
        <v>0</v>
      </c>
      <c r="AA28" s="1">
        <f>-202973/2</f>
        <v>-101486.5</v>
      </c>
      <c r="AB28" s="1"/>
      <c r="AC28" s="1">
        <f>-193076/2</f>
        <v>-96538</v>
      </c>
      <c r="AD28" s="1"/>
      <c r="AE28" s="1"/>
      <c r="AF28" s="1">
        <f>-200747/2</f>
        <v>-100373.5</v>
      </c>
      <c r="AG28" s="1">
        <f>+AG27*0.0765</f>
        <v>0</v>
      </c>
      <c r="AH28" s="1">
        <f>-199042/2</f>
        <v>-99521</v>
      </c>
      <c r="AI28" s="1"/>
      <c r="AJ28" s="1">
        <f>+AJ27*0.0765</f>
        <v>0</v>
      </c>
      <c r="AK28" s="1">
        <f>-185193/2</f>
        <v>-92596.5</v>
      </c>
      <c r="AL28" s="1"/>
      <c r="AM28" s="1">
        <f>-192624/2</f>
        <v>-96312</v>
      </c>
      <c r="AN28" s="1">
        <f>+AN27*0.0765</f>
        <v>-54.621000000000002</v>
      </c>
      <c r="AO28" s="1">
        <f>+AO27*0.0765</f>
        <v>0</v>
      </c>
      <c r="AP28" s="1">
        <f>-185159/2</f>
        <v>-92579.5</v>
      </c>
      <c r="AQ28" s="1"/>
      <c r="AR28" s="1">
        <f>-193739/2</f>
        <v>-96869.5</v>
      </c>
      <c r="AS28" s="1">
        <v>0</v>
      </c>
      <c r="AT28" s="1">
        <f>+AT27*0.0765</f>
        <v>-101745</v>
      </c>
      <c r="AU28" s="1"/>
      <c r="AV28" s="1"/>
      <c r="AW28" s="1">
        <f>-200776/2</f>
        <v>-100388</v>
      </c>
      <c r="AX28" s="1"/>
      <c r="AY28" s="1">
        <f>-202336/2</f>
        <v>-101168</v>
      </c>
      <c r="AZ28" s="1"/>
      <c r="BA28" s="1">
        <f>+BA27*0.0765</f>
        <v>0</v>
      </c>
      <c r="BB28" s="1">
        <f>-174958/2</f>
        <v>-87479</v>
      </c>
      <c r="BC28" s="1"/>
      <c r="BD28" s="1">
        <f>-202336/2</f>
        <v>-101168</v>
      </c>
      <c r="BE28" s="1"/>
      <c r="BF28" s="1"/>
      <c r="BG28" s="1"/>
      <c r="BH28" s="1">
        <f>-202152*0.5</f>
        <v>-101076</v>
      </c>
      <c r="BI28" s="1"/>
      <c r="BJ28" s="1">
        <f>-201169.18/2</f>
        <v>-100584.59</v>
      </c>
      <c r="BK28" s="1"/>
      <c r="BL28" s="1">
        <f>+BL27*0.0765</f>
        <v>-144714.8205</v>
      </c>
      <c r="BM28" s="1"/>
      <c r="BN28" s="1">
        <v>-85000</v>
      </c>
      <c r="BO28" s="1"/>
      <c r="BP28" s="1"/>
      <c r="BQ28" s="1">
        <f>+BQ27*0.0765</f>
        <v>0</v>
      </c>
      <c r="BR28" s="9">
        <f t="shared" si="14"/>
        <v>-2490893.0315</v>
      </c>
      <c r="BS28" s="1"/>
      <c r="BT28" s="1">
        <f>+BT27*0.0765</f>
        <v>-84150</v>
      </c>
      <c r="BU28" s="1">
        <f>+BU27*0.0765</f>
        <v>0</v>
      </c>
      <c r="BV28" s="1"/>
      <c r="BW28" s="1">
        <f>+BW27*0.0765</f>
        <v>0</v>
      </c>
      <c r="BX28" s="1"/>
      <c r="BY28" s="1">
        <f>+BY27*0.0765</f>
        <v>0</v>
      </c>
      <c r="BZ28" s="1"/>
      <c r="CA28" s="1">
        <f>+CA27*0.0765</f>
        <v>0</v>
      </c>
      <c r="CB28" s="1"/>
    </row>
    <row r="29" spans="1:80" x14ac:dyDescent="0.2">
      <c r="A29" t="s">
        <v>23</v>
      </c>
      <c r="D29" s="1"/>
      <c r="E29" s="1"/>
      <c r="F29" s="1">
        <v>-176878</v>
      </c>
      <c r="G29" s="1"/>
      <c r="H29" s="1"/>
      <c r="I29" s="1"/>
      <c r="J29" s="1"/>
      <c r="K29" s="1"/>
      <c r="L29" s="1">
        <v>-380926</v>
      </c>
      <c r="M29" s="1"/>
      <c r="N29" s="1"/>
      <c r="O29" s="1"/>
      <c r="P29" s="1"/>
      <c r="Q29" s="1">
        <f>-611317+90</f>
        <v>-611227</v>
      </c>
      <c r="R29" s="1"/>
      <c r="S29" s="1"/>
      <c r="T29" s="1"/>
      <c r="U29" s="1"/>
      <c r="V29" s="1">
        <v>-520828</v>
      </c>
      <c r="W29" s="1"/>
      <c r="X29" s="1"/>
      <c r="Y29" s="1"/>
      <c r="Z29" s="1"/>
      <c r="AA29" s="1"/>
      <c r="AB29" s="1"/>
      <c r="AC29" s="1">
        <v>-528953</v>
      </c>
      <c r="AD29" s="1"/>
      <c r="AE29" s="1"/>
      <c r="AF29" s="1"/>
      <c r="AG29" s="1"/>
      <c r="AH29" s="1">
        <f>-422043-74737</f>
        <v>-496780</v>
      </c>
      <c r="AI29" s="1"/>
      <c r="AJ29" s="1"/>
      <c r="AK29" s="1"/>
      <c r="AL29" s="1">
        <v>0</v>
      </c>
      <c r="AM29" s="1">
        <v>-526527</v>
      </c>
      <c r="AN29" s="1" t="s">
        <v>21</v>
      </c>
      <c r="AO29" s="1"/>
      <c r="AP29" s="1"/>
      <c r="AQ29" s="1"/>
      <c r="AR29" s="1"/>
      <c r="AS29" s="1">
        <v>-518316</v>
      </c>
      <c r="AT29" s="1"/>
      <c r="AU29" s="1"/>
      <c r="AV29" s="1"/>
      <c r="AW29" s="1"/>
      <c r="AX29" s="1">
        <v>-830000</v>
      </c>
      <c r="AY29" s="1"/>
      <c r="AZ29" s="1"/>
      <c r="BA29" s="1"/>
      <c r="BB29" s="1"/>
      <c r="BC29" s="1">
        <v>-520000</v>
      </c>
      <c r="BD29" s="1"/>
      <c r="BE29" s="1"/>
      <c r="BF29" s="1"/>
      <c r="BG29" s="1"/>
      <c r="BH29" s="1"/>
      <c r="BI29" s="1"/>
      <c r="BJ29" s="1">
        <v>-515580</v>
      </c>
      <c r="BK29" s="1"/>
      <c r="BL29" s="1"/>
      <c r="BM29" s="1"/>
      <c r="BN29" s="1">
        <v>-500000</v>
      </c>
      <c r="BO29" s="1">
        <v>0</v>
      </c>
      <c r="BP29" s="1"/>
      <c r="BQ29" s="1"/>
      <c r="BR29" s="9">
        <f t="shared" si="14"/>
        <v>-6126015</v>
      </c>
      <c r="BS29" s="1"/>
      <c r="BT29" s="1"/>
      <c r="BU29" s="1"/>
      <c r="BV29" s="1">
        <f>+(+BN27+BQ27)*0.1217</f>
        <v>-135711.07759999999</v>
      </c>
      <c r="BW29" s="1"/>
      <c r="BX29" s="1"/>
      <c r="BY29" s="1"/>
      <c r="CA29" s="1">
        <f>+(+BU27+BW27)*0.1217</f>
        <v>0</v>
      </c>
      <c r="CB29" s="1"/>
    </row>
    <row r="30" spans="1:80" x14ac:dyDescent="0.2">
      <c r="A30" t="s">
        <v>24</v>
      </c>
      <c r="D30" s="1"/>
      <c r="E30" s="1"/>
      <c r="F30" s="1">
        <f>-463124+457032</f>
        <v>-6092</v>
      </c>
      <c r="G30" s="1">
        <v>-457032</v>
      </c>
      <c r="H30" s="1"/>
      <c r="I30" s="1" t="s">
        <v>29</v>
      </c>
      <c r="J30" s="1"/>
      <c r="K30" s="1">
        <f>-462708+460277</f>
        <v>-2431</v>
      </c>
      <c r="L30" s="1">
        <v>-460277</v>
      </c>
      <c r="M30" s="1"/>
      <c r="N30" s="1"/>
      <c r="O30" s="1"/>
      <c r="P30" s="1">
        <f>-462765+460068</f>
        <v>-2697</v>
      </c>
      <c r="Q30" s="1">
        <v>-460068</v>
      </c>
      <c r="R30" s="1"/>
      <c r="S30" s="1"/>
      <c r="T30" s="1"/>
      <c r="U30" s="1"/>
      <c r="V30" s="1">
        <f>434248-437061</f>
        <v>-2813</v>
      </c>
      <c r="W30" s="1">
        <v>-434248</v>
      </c>
      <c r="X30" s="1"/>
      <c r="Y30" s="1"/>
      <c r="Z30" s="1"/>
      <c r="AA30" s="1"/>
      <c r="AB30" s="1">
        <f>-464198+461776</f>
        <v>-2422</v>
      </c>
      <c r="AC30" s="1">
        <v>-461776</v>
      </c>
      <c r="AD30" s="1"/>
      <c r="AE30" s="1"/>
      <c r="AF30" s="1"/>
      <c r="AG30" s="1">
        <v>-3010</v>
      </c>
      <c r="AH30" s="1">
        <v>-472776</v>
      </c>
      <c r="AI30" s="1"/>
      <c r="AJ30" s="1"/>
      <c r="AK30" s="1"/>
      <c r="AL30" s="1"/>
      <c r="AM30" s="1">
        <v>-4777</v>
      </c>
      <c r="AN30" s="1">
        <v>-470000</v>
      </c>
      <c r="AO30" s="1"/>
      <c r="AP30" s="1"/>
      <c r="AQ30" s="1"/>
      <c r="AR30" s="1">
        <v>-2813</v>
      </c>
      <c r="AS30" s="1">
        <v>-470000</v>
      </c>
      <c r="AT30" s="1"/>
      <c r="AU30" s="1" t="s">
        <v>21</v>
      </c>
      <c r="AV30" s="1"/>
      <c r="AW30" s="1">
        <v>-2581</v>
      </c>
      <c r="AX30" s="1">
        <v>-470000</v>
      </c>
      <c r="AY30" s="1"/>
      <c r="AZ30" s="1"/>
      <c r="BA30" s="1"/>
      <c r="BB30" s="1">
        <f>-437162+434460</f>
        <v>-2702</v>
      </c>
      <c r="BC30" s="1"/>
      <c r="BD30" s="1">
        <v>-470000</v>
      </c>
      <c r="BE30" s="1"/>
      <c r="BF30" s="1"/>
      <c r="BG30" s="1"/>
      <c r="BH30" s="1"/>
      <c r="BI30" s="1">
        <f>-434949+432250</f>
        <v>-2699</v>
      </c>
      <c r="BJ30" s="1">
        <v>-470000</v>
      </c>
      <c r="BK30" s="1">
        <v>0</v>
      </c>
      <c r="BM30" s="1"/>
      <c r="BN30" s="1"/>
      <c r="BO30" s="1">
        <v>-470000</v>
      </c>
      <c r="BP30" s="1"/>
      <c r="BQ30" s="1"/>
      <c r="BR30" s="9">
        <f t="shared" si="14"/>
        <v>-5601214</v>
      </c>
      <c r="BS30" s="1"/>
      <c r="BT30" s="1"/>
      <c r="BU30" s="1"/>
      <c r="BV30" s="1">
        <v>-12000</v>
      </c>
      <c r="BW30" s="1">
        <v>-450000</v>
      </c>
      <c r="BX30" s="1"/>
      <c r="BY30" s="1"/>
      <c r="BZ30" s="1">
        <v>-12000</v>
      </c>
      <c r="CA30" s="1">
        <v>-450000</v>
      </c>
      <c r="CB30" s="1"/>
    </row>
    <row r="31" spans="1:80" x14ac:dyDescent="0.2">
      <c r="A31" t="s">
        <v>38</v>
      </c>
      <c r="D31" s="1">
        <v>0</v>
      </c>
      <c r="E31" s="1"/>
      <c r="F31" s="1"/>
      <c r="G31" s="1">
        <v>0</v>
      </c>
      <c r="H31" s="1">
        <v>0</v>
      </c>
      <c r="I31" s="1"/>
      <c r="J31" s="1">
        <v>-2500</v>
      </c>
      <c r="K31" s="1"/>
      <c r="L31" s="1">
        <v>-2000</v>
      </c>
      <c r="M31" s="1">
        <v>-315</v>
      </c>
      <c r="N31" s="1"/>
      <c r="O31" s="1">
        <v>-2000</v>
      </c>
      <c r="P31" s="1">
        <v>0</v>
      </c>
      <c r="Q31" s="1"/>
      <c r="R31" s="1">
        <v>-2500</v>
      </c>
      <c r="S31" s="1">
        <v>-54</v>
      </c>
      <c r="T31" s="1">
        <v>-2000</v>
      </c>
      <c r="U31" s="1">
        <v>-2000</v>
      </c>
      <c r="V31" s="1"/>
      <c r="W31" s="1"/>
      <c r="X31" s="1"/>
      <c r="Y31" s="1">
        <v>-43</v>
      </c>
      <c r="Z31" s="1">
        <v>-2000</v>
      </c>
      <c r="AA31" s="1">
        <v>0</v>
      </c>
      <c r="AB31" s="1">
        <v>-1000</v>
      </c>
      <c r="AC31" s="1"/>
      <c r="AD31" s="1">
        <v>-1000</v>
      </c>
      <c r="AE31" s="1">
        <v>-596</v>
      </c>
      <c r="AF31" s="1">
        <v>-3000</v>
      </c>
      <c r="AG31" s="1">
        <v>0</v>
      </c>
      <c r="AH31" s="1"/>
      <c r="AI31" s="1">
        <v>0</v>
      </c>
      <c r="AJ31" s="1"/>
      <c r="AK31" s="1">
        <v>-2000</v>
      </c>
      <c r="AL31" s="1">
        <v>-2000</v>
      </c>
      <c r="AM31" s="1"/>
      <c r="AN31" s="1"/>
      <c r="AO31" s="1">
        <v>-2540</v>
      </c>
      <c r="AP31" s="1"/>
      <c r="AQ31" s="1"/>
      <c r="AR31" s="1">
        <v>0</v>
      </c>
      <c r="AS31" s="1">
        <v>-2000</v>
      </c>
      <c r="AT31" s="1">
        <v>-317</v>
      </c>
      <c r="AU31" s="1"/>
      <c r="AV31" s="1">
        <v>-2000</v>
      </c>
      <c r="AW31" s="1"/>
      <c r="AX31" s="1"/>
      <c r="AY31" s="1">
        <v>-281</v>
      </c>
      <c r="AZ31" s="1"/>
      <c r="BA31" s="1"/>
      <c r="BB31" s="1"/>
      <c r="BC31" s="1">
        <v>-2000</v>
      </c>
      <c r="BD31" s="1"/>
      <c r="BE31" s="1">
        <v>-1033</v>
      </c>
      <c r="BF31" s="1"/>
      <c r="BG31" s="1">
        <v>-3000</v>
      </c>
      <c r="BH31" s="1"/>
      <c r="BI31" s="1"/>
      <c r="BJ31" s="1"/>
      <c r="BK31" s="1"/>
      <c r="BL31" s="1">
        <v>-2000</v>
      </c>
      <c r="BM31" s="1"/>
      <c r="BN31" s="1">
        <v>-2000</v>
      </c>
      <c r="BO31" s="1"/>
      <c r="BP31" s="1">
        <v>-2000</v>
      </c>
      <c r="BQ31" s="1"/>
      <c r="BR31" s="9">
        <f t="shared" si="14"/>
        <v>-44179</v>
      </c>
      <c r="BS31" s="1"/>
      <c r="BT31" s="1"/>
      <c r="BU31" s="1"/>
      <c r="BV31" s="1"/>
      <c r="BW31" s="1"/>
      <c r="BX31" s="1"/>
      <c r="BY31" s="1"/>
      <c r="BZ31" s="1"/>
      <c r="CA31" s="1">
        <v>-150000</v>
      </c>
      <c r="CB31" s="1"/>
    </row>
    <row r="32" spans="1:80" x14ac:dyDescent="0.2">
      <c r="A32" t="s">
        <v>39</v>
      </c>
      <c r="D32" s="1"/>
      <c r="E32" s="1"/>
      <c r="F32" s="1"/>
      <c r="G32" s="1"/>
      <c r="H32" s="1">
        <f>44901+15643</f>
        <v>60544</v>
      </c>
      <c r="I32" s="1">
        <v>24000</v>
      </c>
      <c r="J32" s="1"/>
      <c r="K32" s="1">
        <v>24000</v>
      </c>
      <c r="L32" s="1"/>
      <c r="M32" s="1"/>
      <c r="N32" s="1">
        <v>24000</v>
      </c>
      <c r="O32" s="1"/>
      <c r="P32" s="1">
        <v>30800</v>
      </c>
      <c r="Q32" s="1"/>
      <c r="R32" s="1">
        <v>34653</v>
      </c>
      <c r="S32" s="1"/>
      <c r="T32" s="1"/>
      <c r="U32" s="1">
        <v>35000</v>
      </c>
      <c r="V32" s="1"/>
      <c r="W32" s="1">
        <v>35000</v>
      </c>
      <c r="X32" s="1"/>
      <c r="Y32" s="1"/>
      <c r="Z32" s="1"/>
      <c r="AA32" s="1">
        <f>-35000+74861</f>
        <v>39861</v>
      </c>
      <c r="AB32" s="1"/>
      <c r="AC32" s="1">
        <f>-39861+74737</f>
        <v>34876</v>
      </c>
      <c r="AD32" s="1"/>
      <c r="AE32" s="1"/>
      <c r="AF32" s="1">
        <v>38000</v>
      </c>
      <c r="AG32" s="1"/>
      <c r="AH32" s="1">
        <v>41398</v>
      </c>
      <c r="AI32" s="1"/>
      <c r="AJ32" s="1">
        <v>-490</v>
      </c>
      <c r="AK32" s="1">
        <v>30000</v>
      </c>
      <c r="AL32" s="1"/>
      <c r="AM32" s="1">
        <v>40000</v>
      </c>
      <c r="AN32" s="1"/>
      <c r="AO32" s="1"/>
      <c r="AP32" s="1">
        <v>40000</v>
      </c>
      <c r="AQ32" s="1"/>
      <c r="AR32" s="1">
        <v>34593</v>
      </c>
      <c r="AS32" s="1"/>
      <c r="AT32" s="1"/>
      <c r="AU32" s="1">
        <f>146435/3</f>
        <v>48811.666666666664</v>
      </c>
      <c r="AV32" s="1"/>
      <c r="AW32" s="1">
        <v>48812</v>
      </c>
      <c r="AX32" s="1"/>
      <c r="AY32" s="1">
        <v>48812</v>
      </c>
      <c r="AZ32" s="1"/>
      <c r="BA32" s="1"/>
      <c r="BB32" s="1">
        <f>92040/2</f>
        <v>46020</v>
      </c>
      <c r="BC32" s="1"/>
      <c r="BD32" s="1">
        <v>46020</v>
      </c>
      <c r="BE32" s="1"/>
      <c r="BF32" s="1"/>
      <c r="BG32" s="1"/>
      <c r="BH32" s="1">
        <v>40000</v>
      </c>
      <c r="BI32" s="1"/>
      <c r="BJ32" s="1">
        <v>37991</v>
      </c>
      <c r="BK32" s="1"/>
      <c r="BL32" s="1">
        <v>-1166</v>
      </c>
      <c r="BM32" s="1">
        <v>50000</v>
      </c>
      <c r="BN32" s="1"/>
      <c r="BO32" s="1">
        <v>40000</v>
      </c>
      <c r="BP32" s="1"/>
      <c r="BQ32" s="1"/>
      <c r="BR32" s="9">
        <f t="shared" si="14"/>
        <v>971535.66666666663</v>
      </c>
      <c r="BS32" s="1"/>
      <c r="BT32" s="1"/>
      <c r="BU32" s="1"/>
      <c r="BV32" s="1"/>
      <c r="BW32" s="1"/>
      <c r="BX32" s="1"/>
      <c r="BY32" s="1"/>
      <c r="BZ32" s="1"/>
      <c r="CA32" s="1"/>
      <c r="CB32" s="1">
        <f>-144-135-258-336-142-1</f>
        <v>-1016</v>
      </c>
    </row>
    <row r="33" spans="1:80" x14ac:dyDescent="0.2">
      <c r="A33" t="s">
        <v>35</v>
      </c>
      <c r="D33" s="1">
        <v>-645000</v>
      </c>
      <c r="E33" s="1">
        <v>0</v>
      </c>
      <c r="F33" s="1">
        <v>645000</v>
      </c>
      <c r="G33" s="1">
        <v>0</v>
      </c>
      <c r="H33" s="1"/>
      <c r="I33" s="1"/>
      <c r="J33" s="1"/>
      <c r="K33" s="1">
        <v>25848</v>
      </c>
      <c r="L33" s="1"/>
      <c r="M33" s="1"/>
      <c r="N33" s="1"/>
      <c r="O33" s="1"/>
      <c r="P33" s="1"/>
      <c r="Q33" s="1"/>
      <c r="R33" s="1">
        <v>175000</v>
      </c>
      <c r="S33" s="1"/>
      <c r="T33" s="1">
        <v>-175000</v>
      </c>
      <c r="U33" s="1"/>
      <c r="V33" s="1"/>
      <c r="W33" s="1">
        <v>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>
        <v>0</v>
      </c>
      <c r="AM33" s="1">
        <v>0</v>
      </c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>
        <v>0</v>
      </c>
      <c r="AZ33" s="1"/>
      <c r="BA33" s="1">
        <v>0</v>
      </c>
      <c r="BB33" s="1"/>
      <c r="BC33" s="1">
        <v>0</v>
      </c>
      <c r="BD33" s="1"/>
      <c r="BE33" s="1">
        <v>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9">
        <f t="shared" si="14"/>
        <v>25848</v>
      </c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x14ac:dyDescent="0.2">
      <c r="A34" t="s">
        <v>48</v>
      </c>
      <c r="D34" s="1"/>
      <c r="E34" s="1">
        <v>0</v>
      </c>
      <c r="F34" s="1"/>
      <c r="G34" s="1">
        <v>0</v>
      </c>
      <c r="H34" s="1"/>
      <c r="I34" s="1">
        <v>0</v>
      </c>
      <c r="J34" s="1"/>
      <c r="K34" s="1"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-10500</v>
      </c>
      <c r="AB34" s="1">
        <v>0</v>
      </c>
      <c r="AC34" s="1">
        <f>-379000-7400</f>
        <v>-386400</v>
      </c>
      <c r="AD34" s="1"/>
      <c r="AE34" s="1"/>
      <c r="AF34" s="1"/>
      <c r="AG34" s="1">
        <v>-158000</v>
      </c>
      <c r="AH34" s="1"/>
      <c r="AI34" s="1"/>
      <c r="AJ34" s="1"/>
      <c r="AK34" s="1"/>
      <c r="AL34" s="1"/>
      <c r="AM34" s="1">
        <v>-120000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9">
        <f t="shared" si="14"/>
        <v>-674900</v>
      </c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x14ac:dyDescent="0.2">
      <c r="A35" t="s">
        <v>34</v>
      </c>
      <c r="D35" s="2">
        <v>-1602</v>
      </c>
      <c r="E35" s="2">
        <f>-2371-175</f>
        <v>-2546</v>
      </c>
      <c r="F35" s="2">
        <v>-4001</v>
      </c>
      <c r="G35" s="2">
        <f>-113437-721-6523</f>
        <v>-120681</v>
      </c>
      <c r="H35" s="2">
        <v>0</v>
      </c>
      <c r="I35" s="2">
        <v>-4836</v>
      </c>
      <c r="J35" s="2">
        <v>-3508</v>
      </c>
      <c r="K35" s="2">
        <v>-3742</v>
      </c>
      <c r="L35" s="2">
        <v>0</v>
      </c>
      <c r="M35" s="2">
        <f>-744-120783-6233</f>
        <v>-127760</v>
      </c>
      <c r="N35" s="2"/>
      <c r="O35" s="2">
        <v>-1276</v>
      </c>
      <c r="P35" s="2">
        <f>-5782-5610</f>
        <v>-11392</v>
      </c>
      <c r="Q35" s="2">
        <v>-3709</v>
      </c>
      <c r="R35" s="2">
        <f>-815-117830-527</f>
        <v>-119172</v>
      </c>
      <c r="S35" s="2"/>
      <c r="T35" s="2">
        <v>-1700</v>
      </c>
      <c r="U35" s="2">
        <v>-2237</v>
      </c>
      <c r="V35" s="2">
        <v>-3661</v>
      </c>
      <c r="W35" s="2">
        <f>-122247-791-4062</f>
        <v>-127100</v>
      </c>
      <c r="X35" s="2"/>
      <c r="Y35" s="2"/>
      <c r="Z35" s="2">
        <v>-5547</v>
      </c>
      <c r="AA35" s="2">
        <v>-5199</v>
      </c>
      <c r="AB35" s="2">
        <v>-1491</v>
      </c>
      <c r="AC35" s="2">
        <v>-3000</v>
      </c>
      <c r="AD35" s="2">
        <f>-114264-777-3184</f>
        <v>-118225</v>
      </c>
      <c r="AE35" s="2">
        <v>0</v>
      </c>
      <c r="AF35" s="2">
        <f>-579-3974</f>
        <v>-4553</v>
      </c>
      <c r="AG35" s="2">
        <v>-3301</v>
      </c>
      <c r="AH35" s="2">
        <v>-1246</v>
      </c>
      <c r="AI35" s="2">
        <v>-120000</v>
      </c>
      <c r="AJ35" s="2"/>
      <c r="AK35" s="2">
        <v>0</v>
      </c>
      <c r="AL35" s="2">
        <v>0</v>
      </c>
      <c r="AM35" s="2">
        <v>-2928</v>
      </c>
      <c r="AN35" s="2">
        <v>-120000</v>
      </c>
      <c r="AO35" s="2"/>
      <c r="AP35" s="2">
        <v>-16731</v>
      </c>
      <c r="AQ35" s="2">
        <v>0</v>
      </c>
      <c r="AR35" s="2">
        <v>0</v>
      </c>
      <c r="AS35" s="2">
        <v>-120000</v>
      </c>
      <c r="AT35" s="2"/>
      <c r="AU35" s="2">
        <f>-40-3509</f>
        <v>-3549</v>
      </c>
      <c r="AV35" s="2">
        <v>-4328</v>
      </c>
      <c r="AW35" s="2">
        <f>-4411-4411</f>
        <v>-8822</v>
      </c>
      <c r="AX35" s="2">
        <v>0</v>
      </c>
      <c r="AY35" s="2">
        <v>-120000</v>
      </c>
      <c r="AZ35" s="2"/>
      <c r="BA35" s="2">
        <v>-3210</v>
      </c>
      <c r="BB35" s="2">
        <v>-2120</v>
      </c>
      <c r="BC35" s="2">
        <v>-3757</v>
      </c>
      <c r="BD35" s="2">
        <v>-120000</v>
      </c>
      <c r="BE35" s="2">
        <v>0</v>
      </c>
      <c r="BF35" s="2"/>
      <c r="BG35" s="2">
        <v>-1528</v>
      </c>
      <c r="BH35" s="2">
        <v>-1499</v>
      </c>
      <c r="BI35" s="2">
        <v>-1301</v>
      </c>
      <c r="BJ35" s="2">
        <v>-120000</v>
      </c>
      <c r="BK35" s="2"/>
      <c r="BL35" s="2">
        <v>-1671</v>
      </c>
      <c r="BM35" s="2">
        <v>-2983</v>
      </c>
      <c r="BN35" s="2">
        <v>-2632</v>
      </c>
      <c r="BO35" s="2">
        <v>-1991</v>
      </c>
      <c r="BP35" s="2">
        <v>-123151</v>
      </c>
      <c r="BQ35" s="2"/>
      <c r="BR35" s="10">
        <f t="shared" si="14"/>
        <v>-1583686</v>
      </c>
      <c r="BS35" s="1"/>
      <c r="BT35" s="2"/>
      <c r="BU35" s="2"/>
      <c r="BV35" s="2"/>
      <c r="BW35" s="2">
        <v>-419361</v>
      </c>
      <c r="BX35" s="2"/>
      <c r="BY35" s="2"/>
      <c r="BZ35" s="2"/>
      <c r="CA35" s="2"/>
      <c r="CB35" s="2"/>
    </row>
    <row r="36" spans="1:80" x14ac:dyDescent="0.2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BS36" s="1"/>
    </row>
    <row r="37" spans="1:80" x14ac:dyDescent="0.2">
      <c r="A37" s="5" t="s">
        <v>25</v>
      </c>
      <c r="D37" s="1">
        <f>+SUM(D24:D35)</f>
        <v>2499381</v>
      </c>
      <c r="E37" s="1">
        <f t="shared" ref="E37:BQ37" si="15">+SUM(E24:E35)</f>
        <v>-69405</v>
      </c>
      <c r="F37" s="1">
        <f t="shared" si="15"/>
        <v>3721756</v>
      </c>
      <c r="G37" s="1">
        <f t="shared" si="15"/>
        <v>2984961</v>
      </c>
      <c r="H37" s="1">
        <f t="shared" si="15"/>
        <v>242337.81000000006</v>
      </c>
      <c r="I37" s="1">
        <f t="shared" si="15"/>
        <v>-841060.69</v>
      </c>
      <c r="J37" s="1">
        <f t="shared" si="15"/>
        <v>59238.310000000056</v>
      </c>
      <c r="K37" s="1">
        <f t="shared" si="15"/>
        <v>-152381.68999999994</v>
      </c>
      <c r="L37" s="1">
        <f t="shared" si="15"/>
        <v>1332625.31</v>
      </c>
      <c r="M37" s="1">
        <f t="shared" si="15"/>
        <v>-1180220.69</v>
      </c>
      <c r="N37" s="1">
        <f t="shared" si="15"/>
        <v>1078669.31</v>
      </c>
      <c r="O37" s="1">
        <f t="shared" si="15"/>
        <v>245769.31000000006</v>
      </c>
      <c r="P37" s="1">
        <f t="shared" si="15"/>
        <v>-899228.69</v>
      </c>
      <c r="Q37" s="1">
        <f t="shared" si="15"/>
        <v>-784689.69</v>
      </c>
      <c r="R37" s="1">
        <f t="shared" si="15"/>
        <v>-1890277.69</v>
      </c>
      <c r="S37" s="1">
        <f t="shared" si="15"/>
        <v>4983638.3100000005</v>
      </c>
      <c r="T37" s="1">
        <f t="shared" si="15"/>
        <v>4816759.3100000005</v>
      </c>
      <c r="U37" s="1">
        <f t="shared" si="15"/>
        <v>151186.81000000052</v>
      </c>
      <c r="V37" s="1">
        <f t="shared" si="15"/>
        <v>454941.81000000052</v>
      </c>
      <c r="W37" s="1">
        <f t="shared" si="15"/>
        <v>595779.31000000052</v>
      </c>
      <c r="X37" s="1">
        <f t="shared" si="15"/>
        <v>273027.31000000052</v>
      </c>
      <c r="Y37" s="1">
        <f t="shared" si="15"/>
        <v>512868.31000000052</v>
      </c>
      <c r="Z37" s="1">
        <f t="shared" si="15"/>
        <v>401051.31000000052</v>
      </c>
      <c r="AA37" s="1">
        <f t="shared" si="15"/>
        <v>-1146999.1899999995</v>
      </c>
      <c r="AB37" s="1">
        <f t="shared" si="15"/>
        <v>-297175.18999999948</v>
      </c>
      <c r="AC37" s="1">
        <f t="shared" si="15"/>
        <v>215988.81000000052</v>
      </c>
      <c r="AD37" s="1">
        <f t="shared" si="15"/>
        <v>364412.81000000052</v>
      </c>
      <c r="AE37" s="1">
        <f t="shared" si="15"/>
        <v>484949.81000000052</v>
      </c>
      <c r="AF37" s="1">
        <f t="shared" si="15"/>
        <v>-1037641.6899999995</v>
      </c>
      <c r="AG37" s="1">
        <f t="shared" si="15"/>
        <v>-233018.68999999948</v>
      </c>
      <c r="AH37" s="1">
        <f t="shared" si="15"/>
        <v>56160.310000000522</v>
      </c>
      <c r="AI37" s="1">
        <f t="shared" si="15"/>
        <v>289265.31000000052</v>
      </c>
      <c r="AJ37" s="1">
        <f t="shared" si="15"/>
        <v>329026.31000000052</v>
      </c>
      <c r="AK37" s="1">
        <f t="shared" si="15"/>
        <v>-992831.18999999948</v>
      </c>
      <c r="AL37" s="1">
        <f t="shared" si="15"/>
        <v>1015120.8100000005</v>
      </c>
      <c r="AM37" s="1">
        <f t="shared" si="15"/>
        <v>1372898.8100000005</v>
      </c>
      <c r="AN37" s="1">
        <f t="shared" si="15"/>
        <v>2521186.1890000007</v>
      </c>
      <c r="AO37" s="1">
        <f t="shared" si="15"/>
        <v>3230390.1890000007</v>
      </c>
      <c r="AP37" s="1">
        <f t="shared" si="15"/>
        <v>1471455.6890000007</v>
      </c>
      <c r="AQ37" s="1">
        <f t="shared" si="15"/>
        <v>4628384.6890000012</v>
      </c>
      <c r="AR37" s="1">
        <f>+SUM(AR24:AR35)</f>
        <v>3668275.1890000012</v>
      </c>
      <c r="AS37" s="1">
        <f t="shared" si="15"/>
        <v>5294135.1890000012</v>
      </c>
      <c r="AT37" s="1">
        <f t="shared" si="15"/>
        <v>6324790.1890000012</v>
      </c>
      <c r="AU37" s="1">
        <f t="shared" si="15"/>
        <v>9136851.8556666672</v>
      </c>
      <c r="AV37" s="1">
        <f t="shared" si="15"/>
        <v>9201345.8556666672</v>
      </c>
      <c r="AW37" s="1">
        <f t="shared" si="15"/>
        <v>7823213.8556666672</v>
      </c>
      <c r="AX37" s="1">
        <f t="shared" si="15"/>
        <v>9166997.8556666672</v>
      </c>
      <c r="AY37" s="1">
        <f t="shared" si="15"/>
        <v>7574973.8556666672</v>
      </c>
      <c r="AZ37" s="1">
        <f t="shared" si="15"/>
        <v>7691958.8556666672</v>
      </c>
      <c r="BA37" s="1">
        <f t="shared" si="15"/>
        <v>7694902.8556666672</v>
      </c>
      <c r="BB37" s="1">
        <f t="shared" si="15"/>
        <v>6550044.8556666672</v>
      </c>
      <c r="BC37" s="1">
        <f t="shared" si="15"/>
        <v>8375156.8556666672</v>
      </c>
      <c r="BD37" s="1">
        <f t="shared" si="15"/>
        <v>8812134.8556666672</v>
      </c>
      <c r="BE37" s="1">
        <f t="shared" si="15"/>
        <v>8900707.8556666672</v>
      </c>
      <c r="BF37" s="1">
        <f t="shared" si="15"/>
        <v>8907105.8556666672</v>
      </c>
      <c r="BG37" s="1">
        <f t="shared" si="15"/>
        <v>8809931.8556666672</v>
      </c>
      <c r="BH37" s="1">
        <f t="shared" si="15"/>
        <v>7382340.8556666672</v>
      </c>
      <c r="BI37" s="1">
        <f t="shared" si="15"/>
        <v>7385093.8556666672</v>
      </c>
      <c r="BJ37" s="1">
        <f t="shared" si="15"/>
        <v>7347885.2656666674</v>
      </c>
      <c r="BK37" s="1">
        <f t="shared" si="15"/>
        <v>7364615.2656666674</v>
      </c>
      <c r="BL37" s="1">
        <f t="shared" si="15"/>
        <v>5123366.445166667</v>
      </c>
      <c r="BM37" s="1">
        <f t="shared" si="15"/>
        <v>4993067.445166667</v>
      </c>
      <c r="BN37" s="1">
        <f t="shared" si="15"/>
        <v>5799206.445166667</v>
      </c>
      <c r="BO37" s="1">
        <f t="shared" si="15"/>
        <v>5149245.445166667</v>
      </c>
      <c r="BP37" s="1">
        <f t="shared" si="15"/>
        <v>5068170.445166667</v>
      </c>
      <c r="BQ37" s="1">
        <f t="shared" si="15"/>
        <v>5062368.445166667</v>
      </c>
      <c r="BR37" s="1">
        <f>+SUM(BR24:BR35)</f>
        <v>2010050.6351666665</v>
      </c>
      <c r="BS37" s="1">
        <f>+BQ37-BR37</f>
        <v>3052317.8100000005</v>
      </c>
      <c r="BT37" s="1">
        <f t="shared" ref="BT37:CB37" si="16">+SUM(BT24:BT35)</f>
        <v>3826793.8651666669</v>
      </c>
      <c r="BU37" s="1">
        <f t="shared" si="16"/>
        <v>3501368.8651666669</v>
      </c>
      <c r="BV37" s="1">
        <f t="shared" si="16"/>
        <v>4522325.8430666663</v>
      </c>
      <c r="BW37" s="1">
        <f t="shared" si="16"/>
        <v>3666962.8430666663</v>
      </c>
      <c r="BX37" s="1">
        <f t="shared" si="16"/>
        <v>3399242.8660666663</v>
      </c>
      <c r="BY37" s="1">
        <f t="shared" si="16"/>
        <v>3583349.8660666663</v>
      </c>
      <c r="BZ37" s="1">
        <f t="shared" si="16"/>
        <v>2717842.8660666663</v>
      </c>
      <c r="CA37" s="1">
        <f t="shared" si="16"/>
        <v>4922270.8660666663</v>
      </c>
      <c r="CB37" s="1">
        <f t="shared" si="16"/>
        <v>5147040.8660666663</v>
      </c>
    </row>
    <row r="38" spans="1:80" x14ac:dyDescent="0.2">
      <c r="A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>
        <v>-3059319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x14ac:dyDescent="0.2">
      <c r="D39" s="1">
        <v>-2400000</v>
      </c>
      <c r="E39" s="1"/>
      <c r="F39" s="1"/>
      <c r="G39" s="1"/>
      <c r="H39" s="1"/>
      <c r="I39" s="1"/>
      <c r="J39" s="1"/>
      <c r="K39" s="1">
        <f>-1413151-501575</f>
        <v>-1914726</v>
      </c>
      <c r="L39" s="1"/>
      <c r="M39" s="1"/>
      <c r="N39" s="1"/>
      <c r="O39" s="1"/>
      <c r="P39" s="1"/>
      <c r="Q39" s="1"/>
      <c r="R39" s="1">
        <v>-700000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>
        <v>200000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V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23"/>
      <c r="BP39" s="23"/>
      <c r="BQ39" s="1"/>
      <c r="BS39" s="1"/>
    </row>
    <row r="40" spans="1:80" x14ac:dyDescent="0.2">
      <c r="A40" t="s">
        <v>26</v>
      </c>
      <c r="C40" s="1"/>
      <c r="D40" s="1">
        <v>-3942705</v>
      </c>
      <c r="E40" s="1"/>
      <c r="F40" s="1"/>
      <c r="G40" s="1">
        <v>-2561470.19</v>
      </c>
      <c r="H40" s="1"/>
      <c r="I40" s="1">
        <v>-1400000</v>
      </c>
      <c r="J40" s="1"/>
      <c r="K40" s="1">
        <v>1400000</v>
      </c>
      <c r="L40" s="1">
        <v>-1100000</v>
      </c>
      <c r="M40" s="1">
        <v>-2300000</v>
      </c>
      <c r="N40" s="1"/>
      <c r="O40" s="1"/>
      <c r="P40" s="1">
        <v>-2380000</v>
      </c>
      <c r="Q40" s="1"/>
      <c r="R40" s="1">
        <v>1350000</v>
      </c>
      <c r="S40" s="1"/>
      <c r="T40" s="1">
        <v>-5000000</v>
      </c>
      <c r="U40" s="1">
        <v>-2300000</v>
      </c>
      <c r="V40" s="1"/>
      <c r="W40" s="1">
        <v>-3000000</v>
      </c>
      <c r="X40" s="1"/>
      <c r="Y40" s="1"/>
      <c r="Z40" s="1"/>
      <c r="AA40" s="1">
        <v>200000</v>
      </c>
      <c r="AB40" s="1">
        <v>500000</v>
      </c>
      <c r="AC40" s="1">
        <v>1100000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>
        <f>1914726+28824</f>
        <v>1943550</v>
      </c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29"/>
      <c r="BJ40" s="1"/>
      <c r="BK40" s="1"/>
      <c r="BL40" s="1"/>
      <c r="BM40" s="1"/>
      <c r="BN40" s="23"/>
      <c r="BO40" s="1"/>
      <c r="BP40" s="23"/>
      <c r="BQ40" s="23"/>
      <c r="BR40" s="9">
        <f>SUM(D40:BQ40)</f>
        <v>-17490625.189999998</v>
      </c>
      <c r="BS40" s="1"/>
      <c r="BT40" s="1">
        <v>-3900000</v>
      </c>
      <c r="BU40" s="1"/>
      <c r="BV40" s="1"/>
      <c r="BW40" s="1"/>
      <c r="BX40" s="1"/>
      <c r="BY40" s="1"/>
      <c r="BZ40" s="1"/>
      <c r="CA40" s="1"/>
      <c r="CB40" s="1"/>
    </row>
    <row r="41" spans="1:80" x14ac:dyDescent="0.2">
      <c r="A41" t="s">
        <v>27</v>
      </c>
      <c r="C41" s="6"/>
      <c r="D41" s="2">
        <v>3900000</v>
      </c>
      <c r="E41" s="2">
        <v>2535240</v>
      </c>
      <c r="F41" s="2"/>
      <c r="G41" s="2">
        <v>-500000</v>
      </c>
      <c r="H41" s="2"/>
      <c r="I41" s="2">
        <v>2400000</v>
      </c>
      <c r="J41" s="2"/>
      <c r="K41" s="2">
        <v>500000</v>
      </c>
      <c r="L41" s="2">
        <v>-300000</v>
      </c>
      <c r="M41" s="2">
        <v>3942705</v>
      </c>
      <c r="N41" s="2"/>
      <c r="O41" s="2"/>
      <c r="P41" s="2">
        <v>2561470</v>
      </c>
      <c r="Q41" s="2"/>
      <c r="R41" s="2">
        <v>700000</v>
      </c>
      <c r="S41" s="2"/>
      <c r="T41" s="2"/>
      <c r="U41" s="2">
        <v>2300000</v>
      </c>
      <c r="V41" s="2"/>
      <c r="W41" s="2">
        <v>2500000</v>
      </c>
      <c r="X41" s="2"/>
      <c r="Y41" s="2"/>
      <c r="Z41" s="2"/>
      <c r="AA41" s="2">
        <v>702454</v>
      </c>
      <c r="AB41" s="2">
        <v>0</v>
      </c>
      <c r="AC41" s="2">
        <f>1413151+501575</f>
        <v>1914726</v>
      </c>
      <c r="AD41" s="2"/>
      <c r="AE41" s="2"/>
      <c r="AF41" s="2">
        <v>1000000</v>
      </c>
      <c r="AG41" s="2">
        <v>200000</v>
      </c>
      <c r="AH41" s="2"/>
      <c r="AI41" s="2"/>
      <c r="AJ41" s="30"/>
      <c r="AK41" s="30">
        <v>2314624</v>
      </c>
      <c r="AL41" s="2">
        <v>630000</v>
      </c>
      <c r="AM41" s="2"/>
      <c r="AN41" s="2"/>
      <c r="AO41" s="2"/>
      <c r="AP41" s="2">
        <f>1100000+15769</f>
        <v>1115769</v>
      </c>
      <c r="AQ41" s="2"/>
      <c r="AR41" s="26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6"/>
      <c r="BF41" s="2"/>
      <c r="BG41" s="2"/>
      <c r="BH41" s="30"/>
      <c r="BI41" s="2"/>
      <c r="BJ41" s="2"/>
      <c r="BK41" s="2"/>
      <c r="BL41" s="2"/>
      <c r="BM41" s="2"/>
      <c r="BN41" s="26"/>
      <c r="BO41" s="2"/>
      <c r="BP41" s="26"/>
      <c r="BQ41" s="26"/>
      <c r="BR41" s="9">
        <f>SUM(D41:BQ41)</f>
        <v>28416988</v>
      </c>
      <c r="BS41" s="6"/>
      <c r="BT41" s="26">
        <v>3900000</v>
      </c>
      <c r="BU41" s="2"/>
      <c r="BV41" s="2"/>
      <c r="BW41" s="2"/>
      <c r="BX41" s="2"/>
      <c r="BY41" s="2"/>
      <c r="BZ41" s="2"/>
      <c r="CA41" s="2"/>
      <c r="CB41" s="2"/>
    </row>
    <row r="42" spans="1:80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BS42" s="1"/>
    </row>
    <row r="43" spans="1:80" ht="13.5" thickBot="1" x14ac:dyDescent="0.25">
      <c r="A43" t="s">
        <v>25</v>
      </c>
      <c r="D43" s="14">
        <f>SUM(D37:D42)</f>
        <v>56676</v>
      </c>
      <c r="E43" s="14">
        <f>SUM(E37:E42)</f>
        <v>2465835</v>
      </c>
      <c r="F43" s="14">
        <f t="shared" ref="F43:L43" si="17">SUM(F37:F42)</f>
        <v>3721756</v>
      </c>
      <c r="G43" s="14">
        <f t="shared" si="17"/>
        <v>-76509.189999999944</v>
      </c>
      <c r="H43" s="14">
        <f t="shared" si="17"/>
        <v>242337.81000000006</v>
      </c>
      <c r="I43" s="14">
        <f t="shared" si="17"/>
        <v>158939.31000000006</v>
      </c>
      <c r="J43" s="14">
        <f t="shared" si="17"/>
        <v>59238.310000000056</v>
      </c>
      <c r="K43" s="14">
        <f t="shared" si="17"/>
        <v>-167107.68999999994</v>
      </c>
      <c r="L43" s="14">
        <f t="shared" si="17"/>
        <v>-67374.689999999944</v>
      </c>
      <c r="M43" s="14">
        <f t="shared" ref="M43:R43" si="18">SUM(M37:M42)</f>
        <v>462484.31000000006</v>
      </c>
      <c r="N43" s="14">
        <f t="shared" si="18"/>
        <v>1078669.31</v>
      </c>
      <c r="O43" s="14">
        <f t="shared" si="18"/>
        <v>245769.31000000006</v>
      </c>
      <c r="P43" s="14">
        <f t="shared" si="18"/>
        <v>-717758.69</v>
      </c>
      <c r="Q43" s="14">
        <f t="shared" si="18"/>
        <v>-784689.69</v>
      </c>
      <c r="R43" s="14">
        <f t="shared" si="18"/>
        <v>-540277.68999999994</v>
      </c>
      <c r="S43" s="14">
        <f t="shared" ref="S43:AY43" si="19">SUM(S37:S42)</f>
        <v>4983638.3100000005</v>
      </c>
      <c r="T43" s="14">
        <f t="shared" si="19"/>
        <v>-183240.68999999948</v>
      </c>
      <c r="U43" s="14">
        <f t="shared" si="19"/>
        <v>151186.81000000052</v>
      </c>
      <c r="V43" s="14">
        <f t="shared" si="19"/>
        <v>454941.81000000052</v>
      </c>
      <c r="W43" s="14">
        <f t="shared" si="19"/>
        <v>95779.310000000522</v>
      </c>
      <c r="X43" s="14">
        <f t="shared" si="19"/>
        <v>273027.31000000052</v>
      </c>
      <c r="Y43" s="14">
        <f t="shared" si="19"/>
        <v>512868.31000000052</v>
      </c>
      <c r="Z43" s="14">
        <f t="shared" si="19"/>
        <v>401051.31000000052</v>
      </c>
      <c r="AA43" s="14">
        <f t="shared" si="19"/>
        <v>-244545.18999999948</v>
      </c>
      <c r="AB43" s="14">
        <f t="shared" si="19"/>
        <v>202824.81000000052</v>
      </c>
      <c r="AC43" s="14">
        <f>SUM(AC36:AC42)</f>
        <v>371395.81000000052</v>
      </c>
      <c r="AD43" s="14">
        <f t="shared" si="19"/>
        <v>364412.81000000052</v>
      </c>
      <c r="AE43" s="14">
        <f t="shared" si="19"/>
        <v>484949.81000000052</v>
      </c>
      <c r="AF43" s="14">
        <f t="shared" si="19"/>
        <v>-37641.689999999478</v>
      </c>
      <c r="AG43" s="14">
        <f t="shared" si="19"/>
        <v>-33018.689999999478</v>
      </c>
      <c r="AH43" s="14">
        <f t="shared" si="19"/>
        <v>56160.310000000522</v>
      </c>
      <c r="AI43" s="14">
        <f t="shared" si="19"/>
        <v>289265.31000000052</v>
      </c>
      <c r="AJ43" s="14">
        <f t="shared" si="19"/>
        <v>329026.31000000052</v>
      </c>
      <c r="AK43" s="14">
        <f t="shared" si="19"/>
        <v>1321792.8100000005</v>
      </c>
      <c r="AL43" s="14">
        <f t="shared" si="19"/>
        <v>1645120.8100000005</v>
      </c>
      <c r="AM43" s="14">
        <f t="shared" si="19"/>
        <v>1372898.8100000005</v>
      </c>
      <c r="AN43" s="14">
        <f t="shared" si="19"/>
        <v>2521186.1890000007</v>
      </c>
      <c r="AO43" s="14">
        <f t="shared" si="19"/>
        <v>3230390.1890000007</v>
      </c>
      <c r="AP43" s="14">
        <f t="shared" si="19"/>
        <v>4530774.6890000012</v>
      </c>
      <c r="AQ43" s="14">
        <f t="shared" si="19"/>
        <v>4628384.6890000012</v>
      </c>
      <c r="AR43" s="14">
        <f t="shared" si="19"/>
        <v>3668275.1890000012</v>
      </c>
      <c r="AS43" s="14">
        <f t="shared" si="19"/>
        <v>5294135.1890000012</v>
      </c>
      <c r="AT43" s="14">
        <f t="shared" si="19"/>
        <v>6324790.1890000012</v>
      </c>
      <c r="AU43" s="14">
        <f t="shared" si="19"/>
        <v>9136851.8556666672</v>
      </c>
      <c r="AV43" s="14">
        <f t="shared" si="19"/>
        <v>9201345.8556666672</v>
      </c>
      <c r="AW43" s="14">
        <f t="shared" si="19"/>
        <v>7823213.8556666672</v>
      </c>
      <c r="AX43" s="14">
        <f t="shared" si="19"/>
        <v>9166997.8556666672</v>
      </c>
      <c r="AY43" s="14">
        <f t="shared" si="19"/>
        <v>7574973.8556666672</v>
      </c>
      <c r="AZ43" s="14">
        <f t="shared" ref="AZ43:BQ43" si="20">SUM(AZ37:AZ42)</f>
        <v>7691958.8556666672</v>
      </c>
      <c r="BA43" s="14">
        <f t="shared" si="20"/>
        <v>7694902.8556666672</v>
      </c>
      <c r="BB43" s="14">
        <f t="shared" si="20"/>
        <v>6550044.8556666672</v>
      </c>
      <c r="BC43" s="14">
        <f t="shared" si="20"/>
        <v>8375156.8556666672</v>
      </c>
      <c r="BD43" s="14">
        <f t="shared" si="20"/>
        <v>8812134.8556666672</v>
      </c>
      <c r="BE43" s="14">
        <f t="shared" si="20"/>
        <v>8900707.8556666672</v>
      </c>
      <c r="BF43" s="14">
        <f t="shared" si="20"/>
        <v>8907105.8556666672</v>
      </c>
      <c r="BG43" s="14">
        <f t="shared" si="20"/>
        <v>8809931.8556666672</v>
      </c>
      <c r="BH43" s="14">
        <f t="shared" si="20"/>
        <v>7382340.8556666672</v>
      </c>
      <c r="BI43" s="14">
        <f t="shared" si="20"/>
        <v>7385093.8556666672</v>
      </c>
      <c r="BJ43" s="14">
        <f t="shared" si="20"/>
        <v>7347885.2656666674</v>
      </c>
      <c r="BK43" s="14">
        <f t="shared" si="20"/>
        <v>7364615.2656666674</v>
      </c>
      <c r="BL43" s="14">
        <f t="shared" si="20"/>
        <v>5123366.445166667</v>
      </c>
      <c r="BM43" s="14">
        <f t="shared" si="20"/>
        <v>4993067.445166667</v>
      </c>
      <c r="BN43" s="14">
        <f t="shared" si="20"/>
        <v>5799206.445166667</v>
      </c>
      <c r="BO43" s="14">
        <f t="shared" si="20"/>
        <v>5149245.445166667</v>
      </c>
      <c r="BP43" s="14">
        <f t="shared" si="20"/>
        <v>5068170.445166667</v>
      </c>
      <c r="BQ43" s="14">
        <f t="shared" si="20"/>
        <v>5062368.445166667</v>
      </c>
      <c r="BS43" s="1"/>
      <c r="BT43" s="7">
        <f t="shared" ref="BT43:CB43" si="21">SUM(BT37:BT42)</f>
        <v>3826793.8651666669</v>
      </c>
      <c r="BU43" s="7">
        <f t="shared" si="21"/>
        <v>3501368.8651666669</v>
      </c>
      <c r="BV43" s="7">
        <f t="shared" si="21"/>
        <v>4522325.8430666663</v>
      </c>
      <c r="BW43" s="7">
        <f t="shared" si="21"/>
        <v>3666962.8430666663</v>
      </c>
      <c r="BX43" s="7">
        <f t="shared" si="21"/>
        <v>3399242.8660666663</v>
      </c>
      <c r="BY43" s="7">
        <f t="shared" si="21"/>
        <v>3583349.8660666663</v>
      </c>
      <c r="BZ43" s="7">
        <f t="shared" si="21"/>
        <v>2717842.8660666663</v>
      </c>
      <c r="CA43" s="7">
        <f t="shared" si="21"/>
        <v>4922270.8660666663</v>
      </c>
      <c r="CB43" s="7">
        <f t="shared" si="21"/>
        <v>5147040.8660666663</v>
      </c>
    </row>
    <row r="44" spans="1:80" ht="13.5" thickTop="1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>
        <f>2380000-1350000</f>
        <v>1030000</v>
      </c>
      <c r="S44" s="1"/>
      <c r="T44" s="1"/>
      <c r="AY44" s="9"/>
      <c r="BQ44">
        <v>4209745</v>
      </c>
    </row>
    <row r="45" spans="1:80" x14ac:dyDescent="0.2">
      <c r="H45" s="1"/>
      <c r="K45" s="9"/>
      <c r="P45" s="1"/>
      <c r="R45" s="13" t="s">
        <v>45</v>
      </c>
      <c r="T45" t="s">
        <v>47</v>
      </c>
      <c r="U45" t="s">
        <v>37</v>
      </c>
      <c r="V45" s="9">
        <f>+V43-V30-V29-V26</f>
        <v>1212452.8100000005</v>
      </c>
      <c r="AB45" t="s">
        <v>49</v>
      </c>
      <c r="AC45" t="s">
        <v>50</v>
      </c>
      <c r="AK45" t="s">
        <v>51</v>
      </c>
      <c r="AL45" t="s">
        <v>44</v>
      </c>
      <c r="AM45" s="28"/>
      <c r="AO45" s="1"/>
      <c r="AP45" s="13" t="s">
        <v>44</v>
      </c>
      <c r="AR45" s="9"/>
      <c r="AX45" s="9"/>
      <c r="BC45" s="8"/>
      <c r="BD45" s="13"/>
      <c r="BR45" s="1">
        <v>3900000</v>
      </c>
    </row>
    <row r="46" spans="1:80" x14ac:dyDescent="0.2">
      <c r="A46" t="s">
        <v>33</v>
      </c>
      <c r="D46" t="s">
        <v>37</v>
      </c>
      <c r="E46" t="s">
        <v>37</v>
      </c>
      <c r="G46" s="1"/>
      <c r="H46" s="8"/>
      <c r="I46" t="s">
        <v>43</v>
      </c>
      <c r="K46" t="s">
        <v>44</v>
      </c>
      <c r="M46" t="s">
        <v>37</v>
      </c>
      <c r="O46" s="1"/>
      <c r="P46" s="1" t="s">
        <v>37</v>
      </c>
      <c r="R46" t="s">
        <v>46</v>
      </c>
      <c r="T46" s="1"/>
      <c r="U46" s="1"/>
      <c r="Z46" s="1"/>
      <c r="AA46" s="1" t="s">
        <v>44</v>
      </c>
      <c r="AC46" t="s">
        <v>44</v>
      </c>
      <c r="AF46" s="1"/>
      <c r="AK46" s="1"/>
      <c r="AM46" s="1"/>
      <c r="AO46" s="1"/>
      <c r="AP46" t="s">
        <v>44</v>
      </c>
      <c r="AR46" s="1"/>
      <c r="AX46" s="9"/>
      <c r="BQ46" s="13"/>
      <c r="BR46" s="12" t="s">
        <v>41</v>
      </c>
      <c r="BS46" s="1"/>
    </row>
    <row r="47" spans="1:80" x14ac:dyDescent="0.2">
      <c r="I47" s="13"/>
      <c r="K47" t="s">
        <v>44</v>
      </c>
      <c r="N47" s="13"/>
      <c r="O47" s="13"/>
      <c r="P47" s="13"/>
      <c r="R47" t="s">
        <v>45</v>
      </c>
      <c r="W47" s="13"/>
      <c r="AO47" s="1"/>
      <c r="AY47" s="13"/>
      <c r="BC47" s="13"/>
      <c r="BR47" s="13">
        <v>39265</v>
      </c>
      <c r="BS47" s="1"/>
    </row>
    <row r="48" spans="1:80" x14ac:dyDescent="0.2">
      <c r="T48" s="13"/>
      <c r="U48" s="25"/>
      <c r="Z48" s="13"/>
      <c r="AA48" s="13"/>
      <c r="AB48" s="9"/>
      <c r="AK48" s="13"/>
    </row>
    <row r="50" spans="18:71" x14ac:dyDescent="0.2">
      <c r="AX50" s="9"/>
      <c r="BR50">
        <v>2535240.14</v>
      </c>
      <c r="BS50" t="s">
        <v>42</v>
      </c>
    </row>
    <row r="53" spans="18:71" x14ac:dyDescent="0.2">
      <c r="R53">
        <f>210000+1328000+91000</f>
        <v>1629000</v>
      </c>
    </row>
    <row r="54" spans="18:71" x14ac:dyDescent="0.2">
      <c r="R54">
        <f>1629000-800000</f>
        <v>829000</v>
      </c>
    </row>
  </sheetData>
  <phoneticPr fontId="0" type="noConversion"/>
  <pageMargins left="0.5" right="0.5" top="0.5" bottom="1" header="0.5" footer="0.5"/>
  <pageSetup scale="77" orientation="landscape" horizontalDpi="300" verticalDpi="300" r:id="rId1"/>
  <headerFooter alignWithMargins="0">
    <oddHeader>&amp;A</oddHeader>
    <oddFooter>&amp;L&amp;D&amp;T&amp;CPage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GHAPS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SERVICES</dc:creator>
  <cp:lastModifiedBy>Pat Korloch</cp:lastModifiedBy>
  <cp:lastPrinted>2007-12-20T21:47:02Z</cp:lastPrinted>
  <dcterms:created xsi:type="dcterms:W3CDTF">2000-10-12T20:02:02Z</dcterms:created>
  <dcterms:modified xsi:type="dcterms:W3CDTF">2014-07-31T14:44:31Z</dcterms:modified>
</cp:coreProperties>
</file>